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arcon\Documents\HR\2018 Leave\"/>
    </mc:Choice>
  </mc:AlternateContent>
  <bookViews>
    <workbookView xWindow="6915" yWindow="0" windowWidth="12315" windowHeight="9405"/>
  </bookViews>
  <sheets>
    <sheet name="Leave Card" sheetId="3" r:id="rId1"/>
    <sheet name="Other Leave" sheetId="4" r:id="rId2"/>
  </sheets>
  <definedNames>
    <definedName name="Annual">'Leave Card'!$W$4</definedName>
    <definedName name="Data">'Leave Card'!$B$12:$BA$59</definedName>
    <definedName name="DonAL">'Leave Card'!$W$6</definedName>
    <definedName name="DonSL">'Leave Card'!$Y$6</definedName>
    <definedName name="FiveYr">'Leave Card'!$W$1</definedName>
    <definedName name="ForAL">'Leave Card'!$W$5</definedName>
    <definedName name="ForfeitedAL">'Leave Card'!$BJ$12:$BJ$60</definedName>
    <definedName name="ForfeitedSL">'Leave Card'!$BI$12:$BI$60</definedName>
    <definedName name="ForSL">'Leave Card'!$Y$5</definedName>
    <definedName name="NA">"n/a"</definedName>
    <definedName name="PERSONAL">'Leave Card'!$W$7</definedName>
    <definedName name="_xlnm.Print_Area" localSheetId="0">'Leave Card'!$A$10:$AU$60</definedName>
    <definedName name="SICK">'Leave Card'!$Y$4</definedName>
    <definedName name="StartDate">'Leave Card'!$H$4</definedName>
    <definedName name="TenYr">'Leave Card'!$W$2</definedName>
    <definedName name="YearDate">'Leave Card'!$D$6</definedName>
  </definedNames>
  <calcPr calcId="171027"/>
</workbook>
</file>

<file path=xl/calcChain.xml><?xml version="1.0" encoding="utf-8"?>
<calcChain xmlns="http://schemas.openxmlformats.org/spreadsheetml/2006/main">
  <c r="AW58" i="3" l="1"/>
  <c r="AW54" i="3"/>
  <c r="AW50" i="3"/>
  <c r="AW46" i="3"/>
  <c r="AW42" i="3"/>
  <c r="AW38" i="3"/>
  <c r="AW34" i="3"/>
  <c r="AW30" i="3"/>
  <c r="AW26" i="3"/>
  <c r="AW22" i="3"/>
  <c r="AW18" i="3"/>
  <c r="BC58" i="3"/>
  <c r="BC54" i="3"/>
  <c r="BC50" i="3"/>
  <c r="BC46" i="3"/>
  <c r="BC42" i="3"/>
  <c r="BC38" i="3"/>
  <c r="BC34" i="3"/>
  <c r="BC30" i="3"/>
  <c r="BC26" i="3"/>
  <c r="BC22" i="3"/>
  <c r="V58" i="3"/>
  <c r="V54" i="3"/>
  <c r="V50" i="3"/>
  <c r="V46" i="3"/>
  <c r="V42" i="3"/>
  <c r="V38" i="3"/>
  <c r="V34" i="3"/>
  <c r="V30" i="3"/>
  <c r="V26" i="3"/>
  <c r="V22" i="3"/>
  <c r="V18" i="3"/>
  <c r="X58" i="3"/>
  <c r="X54" i="3"/>
  <c r="X50" i="3"/>
  <c r="X46" i="3"/>
  <c r="X42" i="3"/>
  <c r="X38" i="3"/>
  <c r="X34" i="3"/>
  <c r="X30" i="3"/>
  <c r="X26" i="3"/>
  <c r="X22" i="3"/>
  <c r="X18" i="3"/>
  <c r="AM6" i="3"/>
  <c r="AT58" i="3"/>
  <c r="AT54" i="3"/>
  <c r="AT50" i="3"/>
  <c r="AT46" i="3"/>
  <c r="AT42" i="3"/>
  <c r="AT38" i="3"/>
  <c r="AT34" i="3"/>
  <c r="AT30" i="3"/>
  <c r="AT26" i="3"/>
  <c r="AT22" i="3"/>
  <c r="AT18" i="3"/>
  <c r="AR59" i="3"/>
  <c r="AT59" i="3" s="1"/>
  <c r="AR55" i="3"/>
  <c r="AT55" i="3" s="1"/>
  <c r="AR51" i="3"/>
  <c r="AT51" i="3" s="1"/>
  <c r="AR47" i="3"/>
  <c r="AT47" i="3" s="1"/>
  <c r="AR43" i="3"/>
  <c r="AT43" i="3" s="1"/>
  <c r="AR39" i="3"/>
  <c r="AT39" i="3" s="1"/>
  <c r="AR35" i="3"/>
  <c r="AT35" i="3" s="1"/>
  <c r="AR23" i="3"/>
  <c r="AT23" i="3" s="1"/>
  <c r="AR19" i="3"/>
  <c r="AT19" i="3" s="1"/>
  <c r="V55" i="3"/>
  <c r="X55" i="3" s="1"/>
  <c r="V51" i="3"/>
  <c r="X51" i="3" s="1"/>
  <c r="V47" i="3"/>
  <c r="X47" i="3" s="1"/>
  <c r="AW47" i="3" s="1"/>
  <c r="AY47" i="3" s="1"/>
  <c r="V39" i="3"/>
  <c r="X39" i="3" s="1"/>
  <c r="AR58" i="3"/>
  <c r="AR56" i="3"/>
  <c r="AR54" i="3"/>
  <c r="AR52" i="3"/>
  <c r="AR50" i="3"/>
  <c r="AR48" i="3"/>
  <c r="AR46" i="3"/>
  <c r="AR44" i="3"/>
  <c r="AR42" i="3"/>
  <c r="AR40" i="3"/>
  <c r="AR38" i="3"/>
  <c r="AR36" i="3"/>
  <c r="AR34" i="3"/>
  <c r="AR32" i="3"/>
  <c r="AR31" i="3"/>
  <c r="AT31" i="3" s="1"/>
  <c r="AR30" i="3"/>
  <c r="AR28" i="3"/>
  <c r="AR27" i="3"/>
  <c r="AT27" i="3" s="1"/>
  <c r="AR26" i="3"/>
  <c r="AR24" i="3"/>
  <c r="AR22" i="3"/>
  <c r="AR20" i="3"/>
  <c r="AR18" i="3"/>
  <c r="AR16" i="3"/>
  <c r="AR15" i="3"/>
  <c r="AT15" i="3" s="1"/>
  <c r="A10" i="3"/>
  <c r="C58" i="3"/>
  <c r="C54" i="3"/>
  <c r="C50" i="3"/>
  <c r="C46" i="3"/>
  <c r="E46" i="3" s="1"/>
  <c r="C42" i="3"/>
  <c r="E42" i="3" s="1"/>
  <c r="C38" i="3"/>
  <c r="C34" i="3"/>
  <c r="C30" i="3"/>
  <c r="C26" i="3"/>
  <c r="C22" i="3"/>
  <c r="C18" i="3"/>
  <c r="C14" i="3"/>
  <c r="E14" i="3" s="1"/>
  <c r="V19" i="3"/>
  <c r="V15" i="3"/>
  <c r="B58" i="3"/>
  <c r="AQ54" i="3" s="1"/>
  <c r="B54" i="3"/>
  <c r="AQ50" i="3" s="1"/>
  <c r="B50" i="3"/>
  <c r="U50" i="3" s="1"/>
  <c r="B46" i="3"/>
  <c r="AQ42" i="3" s="1"/>
  <c r="B42" i="3"/>
  <c r="AQ38" i="3" s="1"/>
  <c r="B38" i="3"/>
  <c r="AQ34" i="3" s="1"/>
  <c r="B34" i="3"/>
  <c r="U34" i="3" s="1"/>
  <c r="B30" i="3"/>
  <c r="U30" i="3" s="1"/>
  <c r="B26" i="3"/>
  <c r="AQ22" i="3" s="1"/>
  <c r="B22" i="3"/>
  <c r="AQ18" i="3" s="1"/>
  <c r="B18" i="3"/>
  <c r="AQ14" i="3" s="1"/>
  <c r="B14" i="3"/>
  <c r="U14" i="3" s="1"/>
  <c r="W18" i="3" l="1"/>
  <c r="U46" i="3"/>
  <c r="AQ26" i="3"/>
  <c r="U22" i="3"/>
  <c r="U42" i="3"/>
  <c r="U18" i="3"/>
  <c r="U26" i="3"/>
  <c r="U38" i="3"/>
  <c r="U58" i="3"/>
  <c r="U54" i="3"/>
  <c r="AQ46" i="3"/>
  <c r="AQ30" i="3"/>
  <c r="E38" i="3"/>
  <c r="AW39" i="3"/>
  <c r="AY39" i="3" s="1"/>
  <c r="E54" i="3"/>
  <c r="E26" i="3"/>
  <c r="W58" i="3"/>
  <c r="AW51" i="3"/>
  <c r="AY51" i="3" s="1"/>
  <c r="E30" i="3"/>
  <c r="W22" i="3"/>
  <c r="W38" i="3"/>
  <c r="Y38" i="3" s="1"/>
  <c r="AS38" i="3" s="1"/>
  <c r="E34" i="3"/>
  <c r="W50" i="3"/>
  <c r="AW55" i="3"/>
  <c r="AY55" i="3" s="1"/>
  <c r="W54" i="3"/>
  <c r="Y54" i="3" s="1"/>
  <c r="AS54" i="3" s="1"/>
  <c r="W26" i="3"/>
  <c r="W42" i="3"/>
  <c r="Y42" i="3" s="1"/>
  <c r="AS42" i="3" s="1"/>
  <c r="AU42" i="3" s="1"/>
  <c r="E58" i="3"/>
  <c r="W30" i="3"/>
  <c r="Y30" i="3" s="1"/>
  <c r="AS30" i="3" s="1"/>
  <c r="AV30" i="3" s="1"/>
  <c r="W34" i="3"/>
  <c r="Y34" i="3" s="1"/>
  <c r="AS34" i="3" s="1"/>
  <c r="E50" i="3"/>
  <c r="W46" i="3"/>
  <c r="Y46" i="3" s="1"/>
  <c r="AS46" i="3" s="1"/>
  <c r="X15" i="3"/>
  <c r="X19" i="3"/>
  <c r="Y50" i="3" l="1"/>
  <c r="AS50" i="3" s="1"/>
  <c r="AV50" i="3" s="1"/>
  <c r="Y58" i="3"/>
  <c r="AS58" i="3" s="1"/>
  <c r="AV58" i="3" s="1"/>
  <c r="Y26" i="3"/>
  <c r="AS26" i="3" s="1"/>
  <c r="AV26" i="3" s="1"/>
  <c r="AV42" i="3"/>
  <c r="AW19" i="3"/>
  <c r="AY19" i="3" s="1"/>
  <c r="AU30" i="3"/>
  <c r="AU54" i="3"/>
  <c r="AV54" i="3"/>
  <c r="AU46" i="3"/>
  <c r="AV46" i="3"/>
  <c r="AU38" i="3"/>
  <c r="AV38" i="3"/>
  <c r="AU34" i="3"/>
  <c r="AV34" i="3"/>
  <c r="AW15" i="3"/>
  <c r="AY15" i="3" s="1"/>
  <c r="A3" i="3"/>
  <c r="AU58" i="3" l="1"/>
  <c r="AU50" i="3"/>
  <c r="AU26" i="3"/>
  <c r="BB57" i="3"/>
  <c r="BB56" i="3"/>
  <c r="BB53" i="3"/>
  <c r="BB52" i="3"/>
  <c r="BB49" i="3"/>
  <c r="BB48" i="3"/>
  <c r="BB45" i="3"/>
  <c r="BB44" i="3"/>
  <c r="BB41" i="3"/>
  <c r="BB40" i="3"/>
  <c r="BB37" i="3"/>
  <c r="BB36" i="3"/>
  <c r="BB33" i="3"/>
  <c r="BB32" i="3"/>
  <c r="BB29" i="3"/>
  <c r="BB28" i="3"/>
  <c r="BB25" i="3"/>
  <c r="BB24" i="3"/>
  <c r="BB21" i="3"/>
  <c r="BB20" i="3"/>
  <c r="BB16" i="3"/>
  <c r="BB17" i="3"/>
  <c r="BB13" i="3"/>
  <c r="BB12" i="3"/>
  <c r="A1" i="3" l="1"/>
  <c r="AW14" i="3" l="1"/>
  <c r="X14" i="3"/>
  <c r="AT14" i="3"/>
  <c r="W2" i="3"/>
  <c r="W1" i="3"/>
  <c r="AR49" i="3" l="1"/>
  <c r="AR33" i="3"/>
  <c r="AR29" i="3"/>
  <c r="AR25" i="3"/>
  <c r="AR53" i="3"/>
  <c r="AR37" i="3"/>
  <c r="AR57" i="3"/>
  <c r="AR41" i="3"/>
  <c r="AR17" i="3"/>
  <c r="AR45" i="3"/>
  <c r="AR21" i="3"/>
  <c r="B59" i="3"/>
  <c r="B60" i="3" l="1"/>
  <c r="B63" i="3"/>
  <c r="AQ59" i="3" s="1"/>
  <c r="B62" i="3"/>
  <c r="AQ58" i="3" s="1"/>
  <c r="B61" i="3"/>
  <c r="AQ57" i="3" s="1"/>
  <c r="AQ55" i="3"/>
  <c r="U59" i="3"/>
  <c r="V59" i="3"/>
  <c r="B15" i="3"/>
  <c r="U15" i="3" s="1"/>
  <c r="B16" i="3"/>
  <c r="AQ12" i="3" s="1"/>
  <c r="B19" i="3"/>
  <c r="B20" i="3"/>
  <c r="AQ16" i="3" s="1"/>
  <c r="B23" i="3"/>
  <c r="B25" i="3"/>
  <c r="AQ21" i="3" s="1"/>
  <c r="B28" i="3"/>
  <c r="AQ24" i="3" s="1"/>
  <c r="B31" i="3"/>
  <c r="B33" i="3"/>
  <c r="B36" i="3"/>
  <c r="AQ32" i="3" s="1"/>
  <c r="B39" i="3"/>
  <c r="B41" i="3"/>
  <c r="B44" i="3"/>
  <c r="AQ40" i="3" s="1"/>
  <c r="B47" i="3"/>
  <c r="B49" i="3"/>
  <c r="B52" i="3"/>
  <c r="B55" i="3"/>
  <c r="B57" i="3"/>
  <c r="B13" i="3"/>
  <c r="B17" i="3"/>
  <c r="AQ13" i="3" s="1"/>
  <c r="B12" i="3"/>
  <c r="B21" i="3"/>
  <c r="AQ17" i="3" s="1"/>
  <c r="B24" i="3"/>
  <c r="AQ20" i="3" s="1"/>
  <c r="B27" i="3"/>
  <c r="B29" i="3"/>
  <c r="B32" i="3"/>
  <c r="AQ28" i="3" s="1"/>
  <c r="B35" i="3"/>
  <c r="B37" i="3"/>
  <c r="B40" i="3"/>
  <c r="AQ36" i="3" s="1"/>
  <c r="B43" i="3"/>
  <c r="B45" i="3"/>
  <c r="B48" i="3"/>
  <c r="B51" i="3"/>
  <c r="B53" i="3"/>
  <c r="B56" i="3"/>
  <c r="AQ33" i="3" l="1"/>
  <c r="U37" i="3"/>
  <c r="AQ37" i="3"/>
  <c r="U41" i="3"/>
  <c r="U51" i="3"/>
  <c r="AQ47" i="3"/>
  <c r="AQ25" i="3"/>
  <c r="U29" i="3"/>
  <c r="AQ51" i="3"/>
  <c r="U55" i="3"/>
  <c r="AQ29" i="3"/>
  <c r="U33" i="3"/>
  <c r="U23" i="3"/>
  <c r="AQ19" i="3"/>
  <c r="AQ52" i="3"/>
  <c r="U56" i="3"/>
  <c r="U35" i="3"/>
  <c r="AQ31" i="3"/>
  <c r="V49" i="3"/>
  <c r="AT49" i="3" s="1"/>
  <c r="AQ45" i="3"/>
  <c r="U49" i="3"/>
  <c r="AQ35" i="3"/>
  <c r="U39" i="3"/>
  <c r="AQ15" i="3"/>
  <c r="U19" i="3"/>
  <c r="U48" i="3"/>
  <c r="V48" i="3" s="1"/>
  <c r="AT48" i="3" s="1"/>
  <c r="AQ44" i="3"/>
  <c r="AQ23" i="3"/>
  <c r="U27" i="3"/>
  <c r="AQ48" i="3"/>
  <c r="U52" i="3"/>
  <c r="U31" i="3"/>
  <c r="AQ27" i="3"/>
  <c r="AQ41" i="3"/>
  <c r="U45" i="3"/>
  <c r="AQ49" i="3"/>
  <c r="U53" i="3"/>
  <c r="U43" i="3"/>
  <c r="AQ39" i="3"/>
  <c r="AQ53" i="3"/>
  <c r="U57" i="3"/>
  <c r="U47" i="3"/>
  <c r="AQ43" i="3"/>
  <c r="AQ56" i="3"/>
  <c r="D61" i="3"/>
  <c r="X59" i="3"/>
  <c r="AW59" i="3" s="1"/>
  <c r="AY59" i="3" s="1"/>
  <c r="W59" i="3"/>
  <c r="C45" i="3"/>
  <c r="V45" i="3"/>
  <c r="AT45" i="3" s="1"/>
  <c r="C24" i="3"/>
  <c r="U24" i="3"/>
  <c r="V24" i="3" s="1"/>
  <c r="AT24" i="3" s="1"/>
  <c r="C49" i="3"/>
  <c r="C28" i="3"/>
  <c r="U28" i="3"/>
  <c r="V28" i="3" s="1"/>
  <c r="AT28" i="3" s="1"/>
  <c r="AR14" i="3"/>
  <c r="C53" i="3"/>
  <c r="V53" i="3"/>
  <c r="AT53" i="3" s="1"/>
  <c r="C32" i="3"/>
  <c r="U32" i="3"/>
  <c r="V32" i="3" s="1"/>
  <c r="AT32" i="3" s="1"/>
  <c r="C57" i="3"/>
  <c r="V57" i="3"/>
  <c r="AT57" i="3" s="1"/>
  <c r="W51" i="3"/>
  <c r="Y51" i="3" s="1"/>
  <c r="AS51" i="3" s="1"/>
  <c r="AU51" i="3" s="1"/>
  <c r="C29" i="3"/>
  <c r="V29" i="3"/>
  <c r="AT29" i="3" s="1"/>
  <c r="C44" i="3"/>
  <c r="U44" i="3"/>
  <c r="V44" i="3" s="1"/>
  <c r="AT44" i="3" s="1"/>
  <c r="C33" i="3"/>
  <c r="V33" i="3"/>
  <c r="AT33" i="3" s="1"/>
  <c r="V23" i="3"/>
  <c r="C48" i="3"/>
  <c r="C37" i="3"/>
  <c r="V37" i="3"/>
  <c r="AT37" i="3" s="1"/>
  <c r="V27" i="3"/>
  <c r="C17" i="3"/>
  <c r="AR13" i="3"/>
  <c r="U17" i="3"/>
  <c r="V17" i="3" s="1"/>
  <c r="AT17" i="3" s="1"/>
  <c r="C52" i="3"/>
  <c r="V52" i="3"/>
  <c r="AT52" i="3" s="1"/>
  <c r="C41" i="3"/>
  <c r="V41" i="3"/>
  <c r="AT41" i="3" s="1"/>
  <c r="V31" i="3"/>
  <c r="C20" i="3"/>
  <c r="U20" i="3"/>
  <c r="V20" i="3" s="1"/>
  <c r="AT20" i="3" s="1"/>
  <c r="C56" i="3"/>
  <c r="V56" i="3"/>
  <c r="AT56" i="3" s="1"/>
  <c r="V35" i="3"/>
  <c r="C13" i="3"/>
  <c r="E13" i="3" s="1"/>
  <c r="U13" i="3"/>
  <c r="V13" i="3" s="1"/>
  <c r="V43" i="3"/>
  <c r="C21" i="3"/>
  <c r="U21" i="3"/>
  <c r="V21" i="3" s="1"/>
  <c r="AT21" i="3" s="1"/>
  <c r="C36" i="3"/>
  <c r="U36" i="3"/>
  <c r="V36" i="3" s="1"/>
  <c r="AT36" i="3" s="1"/>
  <c r="C25" i="3"/>
  <c r="U25" i="3"/>
  <c r="V25" i="3" s="1"/>
  <c r="AT25" i="3" s="1"/>
  <c r="C16" i="3"/>
  <c r="U16" i="3"/>
  <c r="V16" i="3" s="1"/>
  <c r="AT16" i="3" s="1"/>
  <c r="AR12" i="3"/>
  <c r="C40" i="3"/>
  <c r="U40" i="3"/>
  <c r="V40" i="3" s="1"/>
  <c r="AT40" i="3" s="1"/>
  <c r="C12" i="3"/>
  <c r="E12" i="3" s="1"/>
  <c r="U12" i="3"/>
  <c r="V12" i="3" s="1"/>
  <c r="V14" i="3"/>
  <c r="A12" i="3"/>
  <c r="A48" i="3"/>
  <c r="Z48" i="3" s="1"/>
  <c r="A32" i="3"/>
  <c r="A52" i="3"/>
  <c r="A36" i="3"/>
  <c r="A20" i="3"/>
  <c r="A16" i="3"/>
  <c r="A56" i="3"/>
  <c r="A40" i="3"/>
  <c r="A24" i="3"/>
  <c r="A44" i="3"/>
  <c r="A28" i="3"/>
  <c r="X35" i="3" l="1"/>
  <c r="AW35" i="3" s="1"/>
  <c r="AY35" i="3" s="1"/>
  <c r="AW16" i="3"/>
  <c r="X43" i="3"/>
  <c r="AW43" i="3" s="1"/>
  <c r="AY43" i="3" s="1"/>
  <c r="X31" i="3"/>
  <c r="AW31" i="3" s="1"/>
  <c r="AY31" i="3" s="1"/>
  <c r="X27" i="3"/>
  <c r="AW27" i="3" s="1"/>
  <c r="AY27" i="3" s="1"/>
  <c r="X23" i="3"/>
  <c r="AW23" i="3" s="1"/>
  <c r="AY23" i="3" s="1"/>
  <c r="Y59" i="3"/>
  <c r="AS59" i="3" s="1"/>
  <c r="AU59" i="3" s="1"/>
  <c r="W15" i="3"/>
  <c r="W49" i="3"/>
  <c r="W19" i="3"/>
  <c r="Y19" i="3" s="1"/>
  <c r="AS19" i="3" s="1"/>
  <c r="AU19" i="3" s="1"/>
  <c r="W48" i="3"/>
  <c r="W39" i="3"/>
  <c r="Y39" i="3" s="1"/>
  <c r="AS39" i="3" s="1"/>
  <c r="AU39" i="3" s="1"/>
  <c r="X49" i="3"/>
  <c r="AW49" i="3" s="1"/>
  <c r="X48" i="3"/>
  <c r="AW48" i="3" s="1"/>
  <c r="W14" i="3"/>
  <c r="Y14" i="3" s="1"/>
  <c r="AS14" i="3" s="1"/>
  <c r="AV14" i="3" s="1"/>
  <c r="W47" i="3"/>
  <c r="Y47" i="3" s="1"/>
  <c r="AS47" i="3" s="1"/>
  <c r="AU47" i="3" s="1"/>
  <c r="W31" i="3"/>
  <c r="W27" i="3"/>
  <c r="W23" i="3"/>
  <c r="X40" i="3"/>
  <c r="AW40" i="3" s="1"/>
  <c r="W40" i="3"/>
  <c r="X13" i="3"/>
  <c r="W13" i="3"/>
  <c r="W36" i="3"/>
  <c r="X36" i="3"/>
  <c r="AW36" i="3" s="1"/>
  <c r="X17" i="3"/>
  <c r="AW17" i="3" s="1"/>
  <c r="W17" i="3"/>
  <c r="W53" i="3"/>
  <c r="X53" i="3"/>
  <c r="AW53" i="3" s="1"/>
  <c r="X12" i="3"/>
  <c r="W12" i="3"/>
  <c r="X25" i="3"/>
  <c r="AW25" i="3" s="1"/>
  <c r="W25" i="3"/>
  <c r="W43" i="3"/>
  <c r="W35" i="3"/>
  <c r="X56" i="3"/>
  <c r="AW56" i="3" s="1"/>
  <c r="W56" i="3"/>
  <c r="X52" i="3"/>
  <c r="AW52" i="3" s="1"/>
  <c r="W52" i="3"/>
  <c r="AT12" i="3"/>
  <c r="W21" i="3"/>
  <c r="X21" i="3"/>
  <c r="AW21" i="3" s="1"/>
  <c r="X41" i="3"/>
  <c r="AW41" i="3" s="1"/>
  <c r="W41" i="3"/>
  <c r="W37" i="3"/>
  <c r="X37" i="3"/>
  <c r="AW37" i="3" s="1"/>
  <c r="W44" i="3"/>
  <c r="X44" i="3"/>
  <c r="AW44" i="3" s="1"/>
  <c r="X57" i="3"/>
  <c r="AW57" i="3" s="1"/>
  <c r="W57" i="3"/>
  <c r="W28" i="3"/>
  <c r="X28" i="3"/>
  <c r="AW28" i="3" s="1"/>
  <c r="X16" i="3"/>
  <c r="W16" i="3"/>
  <c r="W33" i="3"/>
  <c r="X33" i="3"/>
  <c r="AW33" i="3" s="1"/>
  <c r="X45" i="3"/>
  <c r="AW45" i="3" s="1"/>
  <c r="W45" i="3"/>
  <c r="X20" i="3"/>
  <c r="AW20" i="3" s="1"/>
  <c r="W20" i="3"/>
  <c r="X29" i="3"/>
  <c r="AW29" i="3" s="1"/>
  <c r="W29" i="3"/>
  <c r="W24" i="3"/>
  <c r="X24" i="3"/>
  <c r="AW24" i="3" s="1"/>
  <c r="AT13" i="3"/>
  <c r="W55" i="3"/>
  <c r="Y55" i="3" s="1"/>
  <c r="AS55" i="3" s="1"/>
  <c r="AU55" i="3" s="1"/>
  <c r="X32" i="3"/>
  <c r="AW32" i="3" s="1"/>
  <c r="W32" i="3"/>
  <c r="Z16" i="3"/>
  <c r="Z20" i="3"/>
  <c r="Z24" i="3"/>
  <c r="Z28" i="3"/>
  <c r="Z32" i="3"/>
  <c r="Z36" i="3"/>
  <c r="Z40" i="3"/>
  <c r="Z44" i="3"/>
  <c r="Z52" i="3"/>
  <c r="Z56" i="3"/>
  <c r="Z12" i="3"/>
  <c r="AP8" i="3" l="1"/>
  <c r="Y27" i="3"/>
  <c r="AS27" i="3" s="1"/>
  <c r="AU27" i="3" s="1"/>
  <c r="Y35" i="3"/>
  <c r="AS35" i="3" s="1"/>
  <c r="AU35" i="3" s="1"/>
  <c r="Y23" i="3"/>
  <c r="AS23" i="3" s="1"/>
  <c r="AU23" i="3" s="1"/>
  <c r="Y31" i="3"/>
  <c r="AS31" i="3" s="1"/>
  <c r="AU31" i="3" s="1"/>
  <c r="Y43" i="3"/>
  <c r="AS43" i="3" s="1"/>
  <c r="AU43" i="3" s="1"/>
  <c r="Y15" i="3"/>
  <c r="AS15" i="3" s="1"/>
  <c r="AU15" i="3" s="1"/>
  <c r="Y13" i="3"/>
  <c r="AU14" i="3"/>
  <c r="AW13" i="3"/>
  <c r="Y12" i="3"/>
  <c r="AW12" i="3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AV15" i="3" l="1"/>
  <c r="AM4" i="3"/>
  <c r="AM5" i="3"/>
  <c r="AS12" i="3"/>
  <c r="AV12" i="3" s="1"/>
  <c r="AS13" i="3"/>
  <c r="AU13" i="3" s="1"/>
  <c r="AX14" i="3"/>
  <c r="E18" i="3" s="1"/>
  <c r="Y18" i="3" s="1"/>
  <c r="AS18" i="3" l="1"/>
  <c r="AV18" i="3" s="1"/>
  <c r="AU12" i="3"/>
  <c r="AX12" i="3" s="1"/>
  <c r="AV13" i="3"/>
  <c r="BC14" i="3"/>
  <c r="AU18" i="3" l="1"/>
  <c r="AX18" i="3" s="1"/>
  <c r="AV19" i="3"/>
  <c r="AY12" i="3"/>
  <c r="BA12" i="3" s="1"/>
  <c r="AX13" i="3"/>
  <c r="BC18" i="3" l="1"/>
  <c r="E22" i="3"/>
  <c r="Y22" i="3" s="1"/>
  <c r="BI12" i="3"/>
  <c r="BC12" i="3"/>
  <c r="E16" i="3" s="1"/>
  <c r="Y16" i="3" s="1"/>
  <c r="AY13" i="3"/>
  <c r="BA13" i="3" s="1"/>
  <c r="AS22" i="3" l="1"/>
  <c r="AV22" i="3" s="1"/>
  <c r="AS16" i="3"/>
  <c r="BK12" i="3"/>
  <c r="BM12" i="3"/>
  <c r="BJ12" i="3"/>
  <c r="BC13" i="3"/>
  <c r="E17" i="3" s="1"/>
  <c r="Y17" i="3" s="1"/>
  <c r="AU22" i="3" l="1"/>
  <c r="AV16" i="3"/>
  <c r="AU16" i="3"/>
  <c r="AX16" i="3" s="1"/>
  <c r="AS17" i="3"/>
  <c r="BL12" i="3"/>
  <c r="AV23" i="3"/>
  <c r="AY16" i="3" l="1"/>
  <c r="BA16" i="3" s="1"/>
  <c r="AV17" i="3"/>
  <c r="AU17" i="3"/>
  <c r="AX17" i="3" s="1"/>
  <c r="BC16" i="3" l="1"/>
  <c r="E20" i="3" s="1"/>
  <c r="Y20" i="3" s="1"/>
  <c r="BI16" i="3"/>
  <c r="AY17" i="3"/>
  <c r="BA17" i="3" s="1"/>
  <c r="BJ16" i="3" s="1"/>
  <c r="AS20" i="3" l="1"/>
  <c r="AV20" i="3" s="1"/>
  <c r="BK16" i="3"/>
  <c r="BM16" i="3"/>
  <c r="BC17" i="3"/>
  <c r="BL16" i="3" s="1"/>
  <c r="AV27" i="3"/>
  <c r="AU20" i="3" l="1"/>
  <c r="AX20" i="3" s="1"/>
  <c r="AY20" i="3" s="1"/>
  <c r="BA20" i="3" s="1"/>
  <c r="E21" i="3"/>
  <c r="Y21" i="3" s="1"/>
  <c r="AS21" i="3" s="1"/>
  <c r="AV21" i="3" s="1"/>
  <c r="BI20" i="3" l="1"/>
  <c r="BC20" i="3"/>
  <c r="AU21" i="3"/>
  <c r="AX21" i="3" s="1"/>
  <c r="E24" i="3" l="1"/>
  <c r="Y24" i="3" s="1"/>
  <c r="BM20" i="3"/>
  <c r="BK20" i="3"/>
  <c r="AY21" i="3"/>
  <c r="BC21" i="3" s="1"/>
  <c r="AV31" i="3"/>
  <c r="AS24" i="3" l="1"/>
  <c r="AV24" i="3" s="1"/>
  <c r="BA21" i="3"/>
  <c r="BJ20" i="3" s="1"/>
  <c r="BL20" i="3" s="1"/>
  <c r="E25" i="3"/>
  <c r="Y25" i="3" s="1"/>
  <c r="AU24" i="3" l="1"/>
  <c r="AX24" i="3" s="1"/>
  <c r="AY24" i="3" s="1"/>
  <c r="BC24" i="3" s="1"/>
  <c r="AS25" i="3"/>
  <c r="AV25" i="3" s="1"/>
  <c r="E28" i="3" l="1"/>
  <c r="Y28" i="3" s="1"/>
  <c r="BA24" i="3"/>
  <c r="BI24" i="3" s="1"/>
  <c r="AU25" i="3"/>
  <c r="AX25" i="3" s="1"/>
  <c r="AY25" i="3" s="1"/>
  <c r="BC25" i="3" s="1"/>
  <c r="AV35" i="3"/>
  <c r="BK24" i="3" l="1"/>
  <c r="BM24" i="3"/>
  <c r="AS28" i="3"/>
  <c r="AV28" i="3" s="1"/>
  <c r="E29" i="3"/>
  <c r="Y29" i="3" s="1"/>
  <c r="BA25" i="3"/>
  <c r="BJ24" i="3" s="1"/>
  <c r="BL24" i="3" s="1"/>
  <c r="AU28" i="3" l="1"/>
  <c r="AX28" i="3" s="1"/>
  <c r="AY28" i="3" s="1"/>
  <c r="BA28" i="3" s="1"/>
  <c r="AS29" i="3"/>
  <c r="AV29" i="3" s="1"/>
  <c r="BC28" i="3" l="1"/>
  <c r="E32" i="3" s="1"/>
  <c r="Y32" i="3" s="1"/>
  <c r="BI28" i="3"/>
  <c r="AU29" i="3"/>
  <c r="AX29" i="3" s="1"/>
  <c r="AY29" i="3" s="1"/>
  <c r="BC29" i="3" s="1"/>
  <c r="AS32" i="3" l="1"/>
  <c r="AV32" i="3" s="1"/>
  <c r="BK28" i="3"/>
  <c r="BM28" i="3"/>
  <c r="BA29" i="3"/>
  <c r="BJ28" i="3" s="1"/>
  <c r="BL28" i="3" s="1"/>
  <c r="E33" i="3"/>
  <c r="Y33" i="3" s="1"/>
  <c r="AV39" i="3"/>
  <c r="AU32" i="3" l="1"/>
  <c r="AX32" i="3" s="1"/>
  <c r="AY32" i="3" s="1"/>
  <c r="BA32" i="3" s="1"/>
  <c r="BI32" i="3" s="1"/>
  <c r="AS33" i="3"/>
  <c r="AV33" i="3" s="1"/>
  <c r="AV43" i="3"/>
  <c r="BC32" i="3" l="1"/>
  <c r="BK32" i="3" s="1"/>
  <c r="BM32" i="3"/>
  <c r="AU33" i="3"/>
  <c r="AX33" i="3" s="1"/>
  <c r="AY33" i="3" s="1"/>
  <c r="BC33" i="3" s="1"/>
  <c r="E36" i="3" l="1"/>
  <c r="Y36" i="3" s="1"/>
  <c r="AS36" i="3" s="1"/>
  <c r="AV36" i="3" s="1"/>
  <c r="BA33" i="3"/>
  <c r="BJ32" i="3" s="1"/>
  <c r="BL32" i="3" s="1"/>
  <c r="E37" i="3"/>
  <c r="Y37" i="3" s="1"/>
  <c r="AV47" i="3"/>
  <c r="AU36" i="3" l="1"/>
  <c r="AX36" i="3" s="1"/>
  <c r="AY36" i="3" s="1"/>
  <c r="AS37" i="3"/>
  <c r="AV37" i="3" s="1"/>
  <c r="BC36" i="3" l="1"/>
  <c r="E40" i="3" s="1"/>
  <c r="Y40" i="3" s="1"/>
  <c r="BA36" i="3"/>
  <c r="BI36" i="3" s="1"/>
  <c r="AU37" i="3"/>
  <c r="AX37" i="3" s="1"/>
  <c r="AY37" i="3" s="1"/>
  <c r="AS40" i="3" l="1"/>
  <c r="AV40" i="3" s="1"/>
  <c r="BM36" i="3"/>
  <c r="BK36" i="3"/>
  <c r="BC37" i="3"/>
  <c r="E41" i="3" s="1"/>
  <c r="Y41" i="3" s="1"/>
  <c r="BA37" i="3"/>
  <c r="BJ36" i="3" s="1"/>
  <c r="AV51" i="3"/>
  <c r="AU40" i="3" l="1"/>
  <c r="AX40" i="3" s="1"/>
  <c r="AY40" i="3" s="1"/>
  <c r="BL36" i="3"/>
  <c r="AS41" i="3"/>
  <c r="AV41" i="3" s="1"/>
  <c r="BA40" i="3" l="1"/>
  <c r="BI40" i="3" s="1"/>
  <c r="BC40" i="3"/>
  <c r="E44" i="3" s="1"/>
  <c r="Y44" i="3" s="1"/>
  <c r="AU41" i="3"/>
  <c r="AX41" i="3" s="1"/>
  <c r="AY41" i="3" s="1"/>
  <c r="BA41" i="3" s="1"/>
  <c r="AS44" i="3" l="1"/>
  <c r="AV44" i="3" s="1"/>
  <c r="BM40" i="3"/>
  <c r="BK40" i="3"/>
  <c r="BC41" i="3"/>
  <c r="E45" i="3" s="1"/>
  <c r="Y45" i="3" s="1"/>
  <c r="AS45" i="3" s="1"/>
  <c r="AU45" i="3" s="1"/>
  <c r="BJ40" i="3"/>
  <c r="AV55" i="3"/>
  <c r="AU44" i="3" l="1"/>
  <c r="AX44" i="3" s="1"/>
  <c r="AY44" i="3" s="1"/>
  <c r="BC44" i="3" s="1"/>
  <c r="BL40" i="3"/>
  <c r="AX45" i="3"/>
  <c r="AV45" i="3"/>
  <c r="E48" i="3" l="1"/>
  <c r="Y48" i="3" s="1"/>
  <c r="BA44" i="3"/>
  <c r="BI44" i="3" s="1"/>
  <c r="AY45" i="3"/>
  <c r="BC45" i="3" s="1"/>
  <c r="BK44" i="3" l="1"/>
  <c r="BM44" i="3"/>
  <c r="AS48" i="3"/>
  <c r="AV48" i="3" s="1"/>
  <c r="BA45" i="3"/>
  <c r="BJ44" i="3" s="1"/>
  <c r="BL44" i="3" s="1"/>
  <c r="E49" i="3"/>
  <c r="Y49" i="3" s="1"/>
  <c r="AS49" i="3" s="1"/>
  <c r="AV49" i="3" s="1"/>
  <c r="AU48" i="3" l="1"/>
  <c r="AX48" i="3" s="1"/>
  <c r="AY48" i="3" s="1"/>
  <c r="BC48" i="3" s="1"/>
  <c r="AU49" i="3"/>
  <c r="AX49" i="3" s="1"/>
  <c r="AY49" i="3" s="1"/>
  <c r="AV59" i="3"/>
  <c r="AK6" i="3" s="1"/>
  <c r="E52" i="3" l="1"/>
  <c r="Y52" i="3" s="1"/>
  <c r="BA48" i="3"/>
  <c r="BI48" i="3" s="1"/>
  <c r="BA49" i="3"/>
  <c r="BJ48" i="3" s="1"/>
  <c r="BC49" i="3"/>
  <c r="BK48" i="3" l="1"/>
  <c r="BM48" i="3"/>
  <c r="AS52" i="3"/>
  <c r="AV52" i="3" s="1"/>
  <c r="BL48" i="3"/>
  <c r="E53" i="3"/>
  <c r="Y53" i="3" s="1"/>
  <c r="AS53" i="3" s="1"/>
  <c r="AV53" i="3" s="1"/>
  <c r="AU52" i="3" l="1"/>
  <c r="AX52" i="3" s="1"/>
  <c r="AU53" i="3"/>
  <c r="AX53" i="3" s="1"/>
  <c r="AY52" i="3" l="1"/>
  <c r="BA52" i="3" s="1"/>
  <c r="BI52" i="3" s="1"/>
  <c r="AY53" i="3"/>
  <c r="BA53" i="3" s="1"/>
  <c r="BC52" i="3" l="1"/>
  <c r="E56" i="3" s="1"/>
  <c r="Y56" i="3" s="1"/>
  <c r="BM52" i="3"/>
  <c r="BJ52" i="3"/>
  <c r="BC53" i="3"/>
  <c r="BK52" i="3" l="1"/>
  <c r="AS56" i="3"/>
  <c r="AV56" i="3" s="1"/>
  <c r="AK4" i="3" s="1"/>
  <c r="E57" i="3"/>
  <c r="Y57" i="3" s="1"/>
  <c r="BL52" i="3"/>
  <c r="AU56" i="3" l="1"/>
  <c r="AX56" i="3" s="1"/>
  <c r="AY56" i="3" s="1"/>
  <c r="BC56" i="3" s="1"/>
  <c r="AS57" i="3"/>
  <c r="AV57" i="3" s="1"/>
  <c r="AK5" i="3" s="1"/>
  <c r="BA56" i="3" l="1"/>
  <c r="BI56" i="3" s="1"/>
  <c r="BM56" i="3" s="1"/>
  <c r="BM10" i="3" s="1"/>
  <c r="AP6" i="3" s="1"/>
  <c r="AU57" i="3"/>
  <c r="AX57" i="3" s="1"/>
  <c r="AK8" i="3" l="1"/>
  <c r="BK56" i="3"/>
  <c r="BK10" i="3" s="1"/>
  <c r="AP4" i="3" s="1"/>
  <c r="AY57" i="3"/>
  <c r="BC57" i="3" s="1"/>
  <c r="BA57" i="3" l="1"/>
  <c r="BJ56" i="3" s="1"/>
  <c r="BL56" i="3" s="1"/>
  <c r="BL10" i="3" s="1"/>
  <c r="AP5" i="3" s="1"/>
  <c r="AK7" i="3" l="1"/>
</calcChain>
</file>

<file path=xl/sharedStrings.xml><?xml version="1.0" encoding="utf-8"?>
<sst xmlns="http://schemas.openxmlformats.org/spreadsheetml/2006/main" count="189" uniqueCount="54">
  <si>
    <t>Balance</t>
  </si>
  <si>
    <t>Used</t>
  </si>
  <si>
    <t>Earned</t>
  </si>
  <si>
    <t xml:space="preserve"> </t>
  </si>
  <si>
    <t>Employee Name</t>
  </si>
  <si>
    <t>Military Leave</t>
  </si>
  <si>
    <t>Comp Time</t>
  </si>
  <si>
    <t>Date</t>
  </si>
  <si>
    <t>Available</t>
  </si>
  <si>
    <t>Amt. Earned</t>
  </si>
  <si>
    <t>Date Used</t>
  </si>
  <si>
    <t>Amt. Used</t>
  </si>
  <si>
    <t>SICK</t>
  </si>
  <si>
    <t>ANNUAL</t>
  </si>
  <si>
    <t>Type</t>
  </si>
  <si>
    <t>16th - EOM</t>
  </si>
  <si>
    <t>TOTAL FOR MONTH</t>
  </si>
  <si>
    <t>End Balance</t>
  </si>
  <si>
    <t>1st - 15th</t>
  </si>
  <si>
    <t xml:space="preserve"> Name:</t>
  </si>
  <si>
    <t xml:space="preserve"> Hire Date:</t>
  </si>
  <si>
    <t>PERSONAL</t>
  </si>
  <si>
    <t>Notes</t>
  </si>
  <si>
    <t>Forfeited Balance</t>
  </si>
  <si>
    <t>Forfeited This Month</t>
  </si>
  <si>
    <t>Beginning Balances</t>
  </si>
  <si>
    <t>ANNUAL LEAVE:</t>
  </si>
  <si>
    <t>PERSONAL:</t>
  </si>
  <si>
    <t xml:space="preserve"> Emp ID #:</t>
  </si>
  <si>
    <t>FORFEITED ANNUAL LV:</t>
  </si>
  <si>
    <t>DONATED ANNUAL LV:</t>
  </si>
  <si>
    <t>Donated This Month</t>
  </si>
  <si>
    <t>Donated Balance</t>
  </si>
  <si>
    <t>Beginning Balance</t>
  </si>
  <si>
    <t xml:space="preserve"> :SICK LEAVE</t>
  </si>
  <si>
    <t xml:space="preserve"> :FORFEITED SICK LV</t>
  </si>
  <si>
    <t xml:space="preserve"> :DONATED SICK LV</t>
  </si>
  <si>
    <t>BALANCES</t>
  </si>
  <si>
    <t>out of</t>
  </si>
  <si>
    <t>SICK LEAVE TAKEN:</t>
  </si>
  <si>
    <t>ANNUAL LEAVE TAKEN:</t>
  </si>
  <si>
    <t>PERSONAL LEAVE TAKEN:</t>
  </si>
  <si>
    <t>Forfeiited AL:</t>
  </si>
  <si>
    <t>Forfeiited SL:</t>
  </si>
  <si>
    <t>Sick Forfeited</t>
  </si>
  <si>
    <t>Annual Forfeited</t>
  </si>
  <si>
    <t>Sick Leave</t>
  </si>
  <si>
    <t>Total Used
this Year:</t>
  </si>
  <si>
    <t>Annual Leave</t>
  </si>
  <si>
    <t>Personal Leave</t>
  </si>
  <si>
    <t>yearly hrs total</t>
  </si>
  <si>
    <t>HOLIDAY</t>
  </si>
  <si>
    <t>Does Not Carry Over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</si>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</sst>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m/dd/yy"/>
    <numFmt numFmtId="165" formatCode="mmm"/>
    <numFmt numFmtId="166" formatCode="00######"/>
    <numFmt numFmtId="167" formatCode="yyyy"/>
    <numFmt numFmtId="168" formatCode="0.0"/>
    <numFmt numFmtId="169" formatCode="m/d/yy;@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8"/>
      <color rgb="FF00B050"/>
      <name val="Arial"/>
      <family val="2"/>
    </font>
    <font>
      <b/>
      <sz val="8.5"/>
      <name val="Arial"/>
      <family val="2"/>
    </font>
    <font>
      <b/>
      <sz val="29"/>
      <name val="Arial Rounded MT Bold"/>
      <family val="2"/>
    </font>
    <font>
      <sz val="8"/>
      <color theme="0"/>
      <name val="Arial"/>
      <family val="2"/>
    </font>
    <font>
      <sz val="10.5"/>
      <name val="Arial"/>
      <family val="2"/>
    </font>
    <font>
      <sz val="8"/>
      <name val="Arial Narrow"/>
      <family val="2"/>
    </font>
    <font>
      <b/>
      <sz val="9"/>
      <color theme="0"/>
      <name val="Arial"/>
      <family val="2"/>
    </font>
    <font>
      <b/>
      <sz val="8"/>
      <color theme="5"/>
      <name val="Arial"/>
      <family val="2"/>
    </font>
    <font>
      <b/>
      <sz val="8"/>
      <color theme="6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29"/>
      <color theme="5" tint="-0.249977111117893"/>
      <name val="Arial Rounded MT Bold"/>
      <family val="2"/>
    </font>
    <font>
      <sz val="8"/>
      <color theme="4" tint="-0.249977111117893"/>
      <name val="Arial"/>
      <family val="2"/>
    </font>
    <font>
      <sz val="8"/>
      <color theme="0"/>
      <name val="Arial Rounded MT Bold"/>
      <family val="2"/>
    </font>
    <font>
      <b/>
      <sz val="8"/>
      <color theme="2" tint="-0.749992370372631"/>
      <name val="Arial"/>
      <family val="2"/>
    </font>
    <font>
      <sz val="8"/>
      <color theme="5"/>
      <name val="Arial"/>
      <family val="2"/>
    </font>
    <font>
      <sz val="8"/>
      <color theme="6" tint="-0.249977111117893"/>
      <name val="Arial"/>
      <family val="2"/>
    </font>
    <font>
      <sz val="8"/>
      <color theme="2" tint="-0.749992370372631"/>
      <name val="Arial"/>
      <family val="2"/>
    </font>
    <font>
      <sz val="7"/>
      <color theme="2" tint="-0.749992370372631"/>
      <name val="Arial"/>
      <family val="2"/>
    </font>
    <font>
      <b/>
      <sz val="8"/>
      <color indexed="8"/>
      <name val="Arial"/>
      <family val="2"/>
    </font>
    <font>
      <sz val="6.5"/>
      <color theme="2" tint="-0.74999237037263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auto="1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medium">
        <color auto="1"/>
      </left>
      <right style="medium">
        <color auto="1"/>
      </right>
      <top style="hair">
        <color theme="0" tint="-0.499984740745262"/>
      </top>
      <bottom style="medium">
        <color auto="1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auto="1"/>
      </right>
      <top style="medium">
        <color indexed="64"/>
      </top>
      <bottom style="hair">
        <color theme="0" tint="-0.499984740745262"/>
      </bottom>
      <diagonal/>
    </border>
    <border>
      <left/>
      <right/>
      <top/>
      <bottom style="thick">
        <color indexed="64"/>
      </bottom>
      <diagonal/>
    </border>
    <border>
      <left style="hair">
        <color theme="0" tint="-0.499984740745262"/>
      </left>
      <right style="thick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ck">
        <color indexed="64"/>
      </right>
      <top style="medium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double">
        <color indexed="64"/>
      </top>
      <bottom/>
      <diagonal/>
    </border>
    <border>
      <left/>
      <right style="hair">
        <color theme="0" tint="-0.499984740745262"/>
      </right>
      <top/>
      <bottom style="double">
        <color indexed="64"/>
      </bottom>
      <diagonal/>
    </border>
    <border>
      <left/>
      <right style="hair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theme="0" tint="-0.499984740745262"/>
      </top>
      <bottom/>
      <diagonal/>
    </border>
    <border>
      <left style="thick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 diagonalUp="1" diagonalDown="1"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 style="dotted">
        <color theme="0" tint="-0.499984740745262"/>
      </diagonal>
    </border>
    <border diagonalUp="1" diagonalDown="1"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 style="dotted">
        <color theme="0" tint="-0.499984740745262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ck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 diagonalUp="1" diagonalDown="1">
      <left/>
      <right/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 diagonalUp="1" diagonalDown="1"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theme="0" tint="-0.499984740745262"/>
      </left>
      <right/>
      <top style="medium">
        <color auto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auto="1"/>
      </top>
      <bottom/>
      <diagonal/>
    </border>
    <border>
      <left style="thick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ck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 diagonalUp="1" diagonalDown="1"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0" xfId="0" applyFill="1"/>
    <xf numFmtId="0" fontId="1" fillId="3" borderId="0" xfId="0" applyFont="1" applyFill="1" applyBorder="1"/>
    <xf numFmtId="0" fontId="2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6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21" xfId="0" applyBorder="1"/>
    <xf numFmtId="0" fontId="1" fillId="0" borderId="22" xfId="0" applyFont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4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4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5" xfId="0" applyNumberFormat="1" applyFont="1" applyFill="1" applyBorder="1" applyProtection="1">
      <protection locked="0"/>
    </xf>
    <xf numFmtId="0" fontId="1" fillId="0" borderId="28" xfId="0" applyNumberFormat="1" applyFont="1" applyFill="1" applyBorder="1" applyProtection="1">
      <protection locked="0"/>
    </xf>
    <xf numFmtId="39" fontId="0" fillId="0" borderId="24" xfId="1" applyNumberFormat="1" applyFont="1" applyBorder="1" applyProtection="1"/>
    <xf numFmtId="39" fontId="0" fillId="0" borderId="26" xfId="1" applyNumberFormat="1" applyFont="1" applyBorder="1" applyProtection="1"/>
    <xf numFmtId="0" fontId="0" fillId="0" borderId="18" xfId="0" applyBorder="1" applyProtection="1">
      <protection locked="0"/>
    </xf>
    <xf numFmtId="0" fontId="5" fillId="2" borderId="3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4" fillId="0" borderId="22" xfId="0" applyFont="1" applyBorder="1" applyAlignment="1" applyProtection="1">
      <alignment horizontal="center" textRotation="90"/>
    </xf>
    <xf numFmtId="0" fontId="4" fillId="2" borderId="3" xfId="0" applyFont="1" applyFill="1" applyBorder="1" applyAlignment="1" applyProtection="1">
      <alignment horizontal="left" textRotation="90"/>
    </xf>
    <xf numFmtId="0" fontId="1" fillId="3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18" fillId="0" borderId="0" xfId="0" applyFont="1" applyAlignment="1">
      <alignment horizontal="left" vertical="top"/>
    </xf>
    <xf numFmtId="0" fontId="10" fillId="0" borderId="0" xfId="0" applyFont="1" applyBorder="1" applyAlignment="1" applyProtection="1">
      <alignment horizontal="left"/>
    </xf>
    <xf numFmtId="14" fontId="19" fillId="0" borderId="0" xfId="1" applyNumberFormat="1" applyFont="1" applyBorder="1" applyAlignment="1">
      <alignment vertical="center"/>
    </xf>
    <xf numFmtId="2" fontId="10" fillId="0" borderId="0" xfId="0" applyNumberFormat="1" applyFont="1" applyFill="1" applyBorder="1" applyAlignment="1" applyProtection="1">
      <protection locked="0"/>
    </xf>
    <xf numFmtId="2" fontId="11" fillId="0" borderId="0" xfId="0" applyNumberFormat="1" applyFont="1" applyFill="1" applyBorder="1" applyAlignment="1" applyProtection="1">
      <protection locked="0"/>
    </xf>
    <xf numFmtId="2" fontId="16" fillId="0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 textRotation="90"/>
    </xf>
    <xf numFmtId="167" fontId="4" fillId="0" borderId="0" xfId="0" applyNumberFormat="1" applyFont="1" applyFill="1" applyBorder="1" applyAlignment="1">
      <alignment horizontal="center" textRotation="90"/>
    </xf>
    <xf numFmtId="0" fontId="2" fillId="0" borderId="0" xfId="0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2" fillId="3" borderId="0" xfId="0" applyNumberFormat="1" applyFont="1" applyFill="1" applyBorder="1" applyAlignment="1" applyProtection="1">
      <alignment horizontal="center" vertical="center"/>
    </xf>
    <xf numFmtId="169" fontId="2" fillId="0" borderId="51" xfId="0" applyNumberFormat="1" applyFont="1" applyBorder="1" applyAlignment="1" applyProtection="1">
      <alignment horizontal="center" vertic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textRotation="90"/>
    </xf>
    <xf numFmtId="0" fontId="3" fillId="0" borderId="0" xfId="0" applyFont="1" applyAlignment="1" applyProtection="1"/>
    <xf numFmtId="2" fontId="10" fillId="0" borderId="0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14" fontId="19" fillId="0" borderId="0" xfId="0" applyNumberFormat="1" applyFont="1" applyAlignment="1">
      <alignment horizontal="center"/>
    </xf>
    <xf numFmtId="14" fontId="1" fillId="0" borderId="0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/>
    <xf numFmtId="166" fontId="1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/>
    <xf numFmtId="0" fontId="0" fillId="0" borderId="0" xfId="0" applyBorder="1"/>
    <xf numFmtId="0" fontId="3" fillId="0" borderId="0" xfId="0" applyFont="1" applyFill="1" applyBorder="1" applyAlignment="1">
      <alignment horizontal="right" vertical="center" textRotation="90" wrapText="1"/>
    </xf>
    <xf numFmtId="2" fontId="21" fillId="0" borderId="0" xfId="0" applyNumberFormat="1" applyFont="1" applyFill="1" applyBorder="1" applyAlignment="1" applyProtection="1"/>
    <xf numFmtId="2" fontId="21" fillId="0" borderId="0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</xf>
    <xf numFmtId="2" fontId="25" fillId="0" borderId="35" xfId="0" applyNumberFormat="1" applyFont="1" applyBorder="1" applyAlignment="1" applyProtection="1">
      <alignment horizontal="center"/>
    </xf>
    <xf numFmtId="1" fontId="23" fillId="0" borderId="47" xfId="0" applyNumberFormat="1" applyFont="1" applyFill="1" applyBorder="1" applyAlignment="1" applyProtection="1">
      <alignment horizontal="center"/>
    </xf>
    <xf numFmtId="2" fontId="25" fillId="0" borderId="36" xfId="0" applyNumberFormat="1" applyFont="1" applyFill="1" applyBorder="1" applyAlignment="1" applyProtection="1">
      <alignment horizontal="center"/>
    </xf>
    <xf numFmtId="1" fontId="25" fillId="0" borderId="37" xfId="0" applyNumberFormat="1" applyFont="1" applyFill="1" applyBorder="1" applyAlignment="1" applyProtection="1">
      <alignment horizontal="center"/>
    </xf>
    <xf numFmtId="2" fontId="25" fillId="0" borderId="38" xfId="0" applyNumberFormat="1" applyFont="1" applyFill="1" applyBorder="1" applyAlignment="1" applyProtection="1">
      <alignment horizontal="center"/>
    </xf>
    <xf numFmtId="2" fontId="24" fillId="0" borderId="36" xfId="0" applyNumberFormat="1" applyFont="1" applyFill="1" applyBorder="1" applyAlignment="1" applyProtection="1">
      <alignment horizontal="center"/>
    </xf>
    <xf numFmtId="1" fontId="24" fillId="0" borderId="37" xfId="0" applyNumberFormat="1" applyFont="1" applyFill="1" applyBorder="1" applyAlignment="1" applyProtection="1">
      <alignment horizontal="center"/>
    </xf>
    <xf numFmtId="2" fontId="24" fillId="0" borderId="38" xfId="0" applyNumberFormat="1" applyFont="1" applyFill="1" applyBorder="1" applyAlignment="1" applyProtection="1">
      <alignment horizontal="center"/>
    </xf>
    <xf numFmtId="2" fontId="23" fillId="0" borderId="50" xfId="0" applyNumberFormat="1" applyFont="1" applyFill="1" applyBorder="1" applyAlignment="1" applyProtection="1">
      <alignment horizontal="center"/>
    </xf>
    <xf numFmtId="2" fontId="25" fillId="0" borderId="39" xfId="0" applyNumberFormat="1" applyFont="1" applyFill="1" applyBorder="1" applyAlignment="1" applyProtection="1">
      <alignment horizontal="center"/>
    </xf>
    <xf numFmtId="2" fontId="25" fillId="0" borderId="52" xfId="0" applyNumberFormat="1" applyFont="1" applyFill="1" applyBorder="1" applyAlignment="1" applyProtection="1">
      <alignment horizontal="center"/>
    </xf>
    <xf numFmtId="2" fontId="25" fillId="0" borderId="44" xfId="0" applyNumberFormat="1" applyFont="1" applyFill="1" applyBorder="1" applyAlignment="1" applyProtection="1">
      <alignment horizontal="center"/>
    </xf>
    <xf numFmtId="2" fontId="25" fillId="0" borderId="45" xfId="0" applyNumberFormat="1" applyFont="1" applyFill="1" applyBorder="1" applyAlignment="1" applyProtection="1">
      <alignment horizontal="center"/>
    </xf>
    <xf numFmtId="2" fontId="25" fillId="0" borderId="40" xfId="0" applyNumberFormat="1" applyFont="1" applyBorder="1" applyAlignment="1" applyProtection="1">
      <alignment horizontal="center"/>
    </xf>
    <xf numFmtId="2" fontId="24" fillId="0" borderId="39" xfId="0" applyNumberFormat="1" applyFont="1" applyFill="1" applyBorder="1" applyAlignment="1" applyProtection="1">
      <alignment horizontal="center"/>
    </xf>
    <xf numFmtId="2" fontId="24" fillId="0" borderId="52" xfId="0" applyNumberFormat="1" applyFont="1" applyFill="1" applyBorder="1" applyAlignment="1" applyProtection="1">
      <alignment horizontal="center"/>
    </xf>
    <xf numFmtId="2" fontId="23" fillId="0" borderId="46" xfId="0" applyNumberFormat="1" applyFont="1" applyFill="1" applyBorder="1" applyAlignment="1" applyProtection="1">
      <alignment horizontal="center"/>
    </xf>
    <xf numFmtId="2" fontId="23" fillId="0" borderId="48" xfId="0" applyNumberFormat="1" applyFont="1" applyFill="1" applyBorder="1" applyAlignment="1" applyProtection="1">
      <alignment horizontal="center"/>
    </xf>
    <xf numFmtId="2" fontId="24" fillId="0" borderId="40" xfId="0" applyNumberFormat="1" applyFont="1" applyBorder="1" applyAlignment="1" applyProtection="1">
      <alignment horizontal="center"/>
    </xf>
    <xf numFmtId="2" fontId="23" fillId="0" borderId="49" xfId="0" applyNumberFormat="1" applyFont="1" applyFill="1" applyBorder="1" applyAlignment="1" applyProtection="1">
      <alignment horizontal="center"/>
    </xf>
    <xf numFmtId="2" fontId="23" fillId="0" borderId="53" xfId="0" applyNumberFormat="1" applyFont="1" applyFill="1" applyBorder="1" applyAlignment="1" applyProtection="1">
      <alignment horizontal="center"/>
    </xf>
    <xf numFmtId="2" fontId="23" fillId="0" borderId="62" xfId="0" applyNumberFormat="1" applyFont="1" applyFill="1" applyBorder="1" applyAlignment="1" applyProtection="1">
      <alignment horizontal="center"/>
    </xf>
    <xf numFmtId="0" fontId="23" fillId="0" borderId="32" xfId="0" applyFont="1" applyBorder="1" applyAlignment="1" applyProtection="1">
      <alignment horizontal="center"/>
    </xf>
    <xf numFmtId="2" fontId="21" fillId="9" borderId="0" xfId="0" applyNumberFormat="1" applyFont="1" applyFill="1" applyBorder="1" applyAlignment="1" applyProtection="1">
      <alignment horizontal="right"/>
    </xf>
    <xf numFmtId="2" fontId="21" fillId="9" borderId="2" xfId="0" applyNumberFormat="1" applyFont="1" applyFill="1" applyBorder="1" applyAlignment="1" applyProtection="1">
      <alignment horizontal="right"/>
    </xf>
    <xf numFmtId="2" fontId="23" fillId="4" borderId="10" xfId="0" applyNumberFormat="1" applyFont="1" applyFill="1" applyBorder="1" applyAlignment="1" applyProtection="1">
      <alignment horizontal="center"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2" fontId="23" fillId="4" borderId="11" xfId="0" applyNumberFormat="1" applyFont="1" applyFill="1" applyBorder="1" applyAlignment="1" applyProtection="1">
      <alignment horizontal="center"/>
      <protection locked="0"/>
    </xf>
    <xf numFmtId="2" fontId="23" fillId="3" borderId="0" xfId="0" applyNumberFormat="1" applyFont="1" applyFill="1" applyBorder="1" applyAlignment="1" applyProtection="1">
      <alignment horizontal="center"/>
      <protection locked="0"/>
    </xf>
    <xf numFmtId="2" fontId="23" fillId="2" borderId="0" xfId="0" applyNumberFormat="1" applyFont="1" applyFill="1" applyBorder="1" applyAlignment="1" applyProtection="1">
      <alignment horizontal="center"/>
      <protection locked="0"/>
    </xf>
    <xf numFmtId="2" fontId="23" fillId="0" borderId="14" xfId="0" applyNumberFormat="1" applyFont="1" applyFill="1" applyBorder="1" applyAlignment="1" applyProtection="1">
      <alignment horizontal="center"/>
      <protection locked="0"/>
    </xf>
    <xf numFmtId="2" fontId="23" fillId="0" borderId="11" xfId="0" applyNumberFormat="1" applyFont="1" applyFill="1" applyBorder="1" applyAlignment="1" applyProtection="1">
      <alignment horizontal="center"/>
      <protection locked="0"/>
    </xf>
    <xf numFmtId="2" fontId="23" fillId="0" borderId="15" xfId="0" applyNumberFormat="1" applyFont="1" applyFill="1" applyBorder="1" applyAlignment="1" applyProtection="1">
      <alignment horizontal="center"/>
      <protection locked="0"/>
    </xf>
    <xf numFmtId="2" fontId="23" fillId="0" borderId="16" xfId="0" applyNumberFormat="1" applyFont="1" applyFill="1" applyBorder="1" applyAlignment="1" applyProtection="1">
      <alignment horizontal="center"/>
      <protection locked="0"/>
    </xf>
    <xf numFmtId="2" fontId="23" fillId="0" borderId="17" xfId="0" applyNumberFormat="1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Border="1" applyAlignment="1" applyProtection="1">
      <alignment horizontal="center"/>
      <protection locked="0"/>
    </xf>
    <xf numFmtId="2" fontId="23" fillId="3" borderId="17" xfId="0" applyNumberFormat="1" applyFont="1" applyFill="1" applyBorder="1" applyAlignment="1" applyProtection="1">
      <alignment horizontal="center"/>
      <protection locked="0"/>
    </xf>
    <xf numFmtId="2" fontId="23" fillId="0" borderId="9" xfId="0" applyNumberFormat="1" applyFont="1" applyFill="1" applyBorder="1" applyAlignment="1" applyProtection="1">
      <alignment horizontal="center"/>
      <protection locked="0"/>
    </xf>
    <xf numFmtId="2" fontId="23" fillId="4" borderId="14" xfId="0" applyNumberFormat="1" applyFont="1" applyFill="1" applyBorder="1" applyAlignment="1" applyProtection="1">
      <alignment horizontal="center"/>
      <protection locked="0"/>
    </xf>
    <xf numFmtId="2" fontId="23" fillId="2" borderId="17" xfId="0" applyNumberFormat="1" applyFont="1" applyFill="1" applyBorder="1" applyAlignment="1" applyProtection="1">
      <alignment horizontal="center"/>
      <protection locked="0"/>
    </xf>
    <xf numFmtId="2" fontId="25" fillId="0" borderId="44" xfId="0" applyNumberFormat="1" applyFont="1" applyFill="1" applyBorder="1" applyAlignment="1" applyProtection="1">
      <alignment horizontal="center"/>
      <protection locked="0"/>
    </xf>
    <xf numFmtId="2" fontId="25" fillId="4" borderId="37" xfId="0" applyNumberFormat="1" applyFont="1" applyFill="1" applyBorder="1" applyAlignment="1" applyProtection="1">
      <alignment horizontal="center"/>
      <protection locked="0"/>
    </xf>
    <xf numFmtId="2" fontId="25" fillId="0" borderId="37" xfId="0" applyNumberFormat="1" applyFont="1" applyFill="1" applyBorder="1" applyAlignment="1" applyProtection="1">
      <alignment horizontal="center"/>
      <protection locked="0"/>
    </xf>
    <xf numFmtId="2" fontId="25" fillId="0" borderId="42" xfId="0" applyNumberFormat="1" applyFont="1" applyFill="1" applyBorder="1" applyAlignment="1" applyProtection="1">
      <alignment horizontal="center"/>
      <protection locked="0"/>
    </xf>
    <xf numFmtId="2" fontId="25" fillId="0" borderId="38" xfId="0" applyNumberFormat="1" applyFont="1" applyFill="1" applyBorder="1" applyAlignment="1" applyProtection="1">
      <alignment horizontal="center"/>
      <protection locked="0"/>
    </xf>
    <xf numFmtId="2" fontId="25" fillId="0" borderId="35" xfId="0" applyNumberFormat="1" applyFont="1" applyFill="1" applyBorder="1" applyAlignment="1" applyProtection="1">
      <alignment horizontal="center"/>
      <protection locked="0"/>
    </xf>
    <xf numFmtId="2" fontId="25" fillId="4" borderId="38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</xf>
    <xf numFmtId="2" fontId="25" fillId="3" borderId="0" xfId="0" applyNumberFormat="1" applyFont="1" applyFill="1" applyBorder="1" applyAlignment="1" applyProtection="1">
      <alignment horizontal="center"/>
      <protection locked="0"/>
    </xf>
    <xf numFmtId="2" fontId="25" fillId="2" borderId="0" xfId="0" applyNumberFormat="1" applyFont="1" applyFill="1" applyBorder="1" applyAlignment="1" applyProtection="1">
      <alignment horizontal="center"/>
      <protection locked="0"/>
    </xf>
    <xf numFmtId="2" fontId="25" fillId="4" borderId="35" xfId="0" applyNumberFormat="1" applyFont="1" applyFill="1" applyBorder="1" applyAlignment="1" applyProtection="1">
      <alignment horizontal="center"/>
      <protection locked="0"/>
    </xf>
    <xf numFmtId="2" fontId="25" fillId="2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/>
    <xf numFmtId="0" fontId="21" fillId="9" borderId="4" xfId="0" applyFont="1" applyFill="1" applyBorder="1" applyAlignment="1" applyProtection="1">
      <alignment horizontal="left"/>
    </xf>
    <xf numFmtId="2" fontId="21" fillId="9" borderId="0" xfId="0" applyNumberFormat="1" applyFont="1" applyFill="1" applyBorder="1" applyAlignment="1" applyProtection="1">
      <alignment horizontal="left"/>
    </xf>
    <xf numFmtId="2" fontId="11" fillId="9" borderId="0" xfId="0" applyNumberFormat="1" applyFont="1" applyFill="1" applyBorder="1" applyAlignment="1" applyProtection="1">
      <protection locked="0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 vertical="top"/>
    </xf>
    <xf numFmtId="2" fontId="16" fillId="9" borderId="0" xfId="0" applyNumberFormat="1" applyFont="1" applyFill="1" applyBorder="1" applyAlignment="1" applyProtection="1">
      <protection locked="0"/>
    </xf>
    <xf numFmtId="0" fontId="21" fillId="9" borderId="19" xfId="0" applyFont="1" applyFill="1" applyBorder="1" applyAlignment="1" applyProtection="1"/>
    <xf numFmtId="0" fontId="1" fillId="9" borderId="4" xfId="0" applyFont="1" applyFill="1" applyBorder="1"/>
    <xf numFmtId="2" fontId="21" fillId="9" borderId="4" xfId="0" applyNumberFormat="1" applyFont="1" applyFill="1" applyBorder="1" applyAlignment="1" applyProtection="1">
      <alignment horizontal="right"/>
    </xf>
    <xf numFmtId="2" fontId="10" fillId="9" borderId="4" xfId="0" applyNumberFormat="1" applyFont="1" applyFill="1" applyBorder="1" applyAlignment="1" applyProtection="1">
      <protection locked="0"/>
    </xf>
    <xf numFmtId="0" fontId="0" fillId="9" borderId="4" xfId="0" applyFill="1" applyBorder="1"/>
    <xf numFmtId="0" fontId="1" fillId="9" borderId="4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2" fontId="21" fillId="9" borderId="21" xfId="0" applyNumberFormat="1" applyFont="1" applyFill="1" applyBorder="1" applyAlignment="1" applyProtection="1"/>
    <xf numFmtId="0" fontId="2" fillId="9" borderId="0" xfId="0" applyFont="1" applyFill="1" applyBorder="1" applyAlignment="1">
      <alignment horizontal="center"/>
    </xf>
    <xf numFmtId="0" fontId="0" fillId="9" borderId="0" xfId="0" applyFill="1" applyBorder="1"/>
    <xf numFmtId="0" fontId="2" fillId="9" borderId="22" xfId="0" applyFont="1" applyFill="1" applyBorder="1" applyAlignment="1">
      <alignment horizontal="center" vertical="top"/>
    </xf>
    <xf numFmtId="2" fontId="21" fillId="9" borderId="63" xfId="0" applyNumberFormat="1" applyFont="1" applyFill="1" applyBorder="1" applyAlignment="1" applyProtection="1"/>
    <xf numFmtId="0" fontId="2" fillId="9" borderId="2" xfId="0" applyFont="1" applyFill="1" applyBorder="1" applyAlignment="1">
      <alignment horizontal="center"/>
    </xf>
    <xf numFmtId="2" fontId="16" fillId="9" borderId="2" xfId="0" applyNumberFormat="1" applyFont="1" applyFill="1" applyBorder="1" applyAlignment="1" applyProtection="1">
      <protection locked="0"/>
    </xf>
    <xf numFmtId="0" fontId="0" fillId="9" borderId="2" xfId="0" applyFill="1" applyBorder="1"/>
    <xf numFmtId="0" fontId="2" fillId="9" borderId="2" xfId="0" applyFont="1" applyFill="1" applyBorder="1" applyAlignment="1">
      <alignment horizontal="center" vertical="top"/>
    </xf>
    <xf numFmtId="0" fontId="2" fillId="9" borderId="61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textRotation="90" wrapText="1"/>
    </xf>
    <xf numFmtId="0" fontId="1" fillId="10" borderId="4" xfId="0" applyFont="1" applyFill="1" applyBorder="1" applyAlignment="1">
      <alignment vertic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2" fontId="25" fillId="0" borderId="42" xfId="0" applyNumberFormat="1" applyFont="1" applyFill="1" applyBorder="1" applyAlignment="1" applyProtection="1">
      <alignment horizontal="center"/>
    </xf>
    <xf numFmtId="2" fontId="23" fillId="0" borderId="57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textRotation="90"/>
    </xf>
    <xf numFmtId="2" fontId="23" fillId="4" borderId="9" xfId="0" applyNumberFormat="1" applyFont="1" applyFill="1" applyBorder="1" applyAlignment="1" applyProtection="1">
      <alignment horizontal="center"/>
      <protection locked="0"/>
    </xf>
    <xf numFmtId="2" fontId="25" fillId="4" borderId="44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center" textRotation="90"/>
    </xf>
    <xf numFmtId="2" fontId="25" fillId="0" borderId="66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protection locked="0"/>
    </xf>
    <xf numFmtId="0" fontId="0" fillId="0" borderId="70" xfId="0" applyBorder="1" applyAlignment="1">
      <alignment horizontal="center"/>
    </xf>
    <xf numFmtId="39" fontId="0" fillId="0" borderId="29" xfId="1" applyNumberFormat="1" applyFont="1" applyBorder="1" applyProtection="1"/>
    <xf numFmtId="39" fontId="0" fillId="0" borderId="71" xfId="1" applyNumberFormat="1" applyFont="1" applyBorder="1" applyProtection="1"/>
    <xf numFmtId="2" fontId="27" fillId="0" borderId="37" xfId="0" applyNumberFormat="1" applyFont="1" applyFill="1" applyBorder="1" applyAlignment="1" applyProtection="1">
      <alignment horizontal="center"/>
      <protection locked="0"/>
    </xf>
    <xf numFmtId="0" fontId="21" fillId="9" borderId="2" xfId="0" applyFont="1" applyFill="1" applyBorder="1" applyAlignment="1">
      <alignment horizontal="left"/>
    </xf>
    <xf numFmtId="14" fontId="28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textRotation="90"/>
    </xf>
    <xf numFmtId="2" fontId="2" fillId="0" borderId="0" xfId="0" applyNumberFormat="1" applyFont="1" applyAlignment="1">
      <alignment horizontal="center"/>
    </xf>
    <xf numFmtId="2" fontId="21" fillId="9" borderId="76" xfId="0" applyNumberFormat="1" applyFont="1" applyFill="1" applyBorder="1" applyAlignment="1" applyProtection="1"/>
    <xf numFmtId="2" fontId="21" fillId="9" borderId="72" xfId="0" applyNumberFormat="1" applyFont="1" applyFill="1" applyBorder="1" applyAlignment="1" applyProtection="1">
      <alignment horizontal="right"/>
    </xf>
    <xf numFmtId="0" fontId="14" fillId="0" borderId="0" xfId="0" applyFont="1" applyBorder="1" applyAlignment="1" applyProtection="1">
      <alignment vertical="top"/>
    </xf>
    <xf numFmtId="0" fontId="1" fillId="0" borderId="0" xfId="0" applyFont="1" applyAlignment="1">
      <alignment horizontal="center"/>
    </xf>
    <xf numFmtId="2" fontId="2" fillId="0" borderId="41" xfId="0" applyNumberFormat="1" applyFont="1" applyFill="1" applyBorder="1" applyAlignment="1" applyProtection="1">
      <alignment horizontal="left"/>
      <protection locked="0"/>
    </xf>
    <xf numFmtId="2" fontId="2" fillId="0" borderId="42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9" borderId="4" xfId="0" applyFont="1" applyFill="1" applyBorder="1" applyProtection="1"/>
    <xf numFmtId="0" fontId="2" fillId="9" borderId="4" xfId="0" applyFont="1" applyFill="1" applyBorder="1" applyAlignment="1" applyProtection="1">
      <alignment horizontal="left"/>
    </xf>
    <xf numFmtId="0" fontId="1" fillId="9" borderId="4" xfId="0" applyFont="1" applyFill="1" applyBorder="1" applyAlignment="1" applyProtection="1"/>
    <xf numFmtId="0" fontId="2" fillId="9" borderId="20" xfId="0" applyFont="1" applyFill="1" applyBorder="1" applyAlignment="1" applyProtection="1"/>
    <xf numFmtId="0" fontId="2" fillId="9" borderId="0" xfId="0" applyFont="1" applyFill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/>
    </xf>
    <xf numFmtId="0" fontId="2" fillId="9" borderId="22" xfId="0" applyFont="1" applyFill="1" applyBorder="1" applyAlignment="1" applyProtection="1"/>
    <xf numFmtId="0" fontId="2" fillId="9" borderId="23" xfId="0" applyFont="1" applyFill="1" applyBorder="1" applyAlignment="1" applyProtection="1">
      <alignment horizontal="left"/>
    </xf>
    <xf numFmtId="0" fontId="2" fillId="9" borderId="72" xfId="0" applyFont="1" applyFill="1" applyBorder="1" applyAlignment="1" applyProtection="1">
      <alignment horizontal="center"/>
    </xf>
    <xf numFmtId="168" fontId="2" fillId="9" borderId="77" xfId="0" applyNumberFormat="1" applyFont="1" applyFill="1" applyBorder="1" applyAlignment="1" applyProtection="1">
      <alignment horizontal="center"/>
    </xf>
    <xf numFmtId="0" fontId="2" fillId="9" borderId="2" xfId="0" applyFont="1" applyFill="1" applyBorder="1" applyAlignment="1" applyProtection="1">
      <alignment horizontal="center"/>
    </xf>
    <xf numFmtId="168" fontId="2" fillId="9" borderId="2" xfId="0" applyNumberFormat="1" applyFont="1" applyFill="1" applyBorder="1" applyAlignment="1" applyProtection="1">
      <alignment horizontal="center"/>
    </xf>
    <xf numFmtId="2" fontId="25" fillId="0" borderId="35" xfId="0" applyNumberFormat="1" applyFont="1" applyFill="1" applyBorder="1" applyAlignment="1" applyProtection="1">
      <alignment horizontal="center"/>
    </xf>
    <xf numFmtId="2" fontId="24" fillId="0" borderId="35" xfId="0" applyNumberFormat="1" applyFont="1" applyBorder="1" applyAlignment="1" applyProtection="1">
      <alignment horizontal="center"/>
    </xf>
    <xf numFmtId="2" fontId="29" fillId="0" borderId="12" xfId="0" applyNumberFormat="1" applyFont="1" applyBorder="1" applyAlignment="1" applyProtection="1">
      <alignment horizontal="center"/>
    </xf>
    <xf numFmtId="2" fontId="21" fillId="9" borderId="2" xfId="0" applyNumberFormat="1" applyFont="1" applyFill="1" applyBorder="1" applyAlignment="1" applyProtection="1">
      <alignment vertical="center" wrapText="1"/>
    </xf>
    <xf numFmtId="0" fontId="2" fillId="9" borderId="2" xfId="0" applyFont="1" applyFill="1" applyBorder="1" applyAlignment="1" applyProtection="1">
      <alignment vertical="center" wrapText="1"/>
    </xf>
    <xf numFmtId="2" fontId="21" fillId="9" borderId="75" xfId="0" applyNumberFormat="1" applyFont="1" applyFill="1" applyBorder="1" applyAlignment="1" applyProtection="1">
      <alignment vertical="center"/>
    </xf>
    <xf numFmtId="2" fontId="29" fillId="0" borderId="43" xfId="0" applyNumberFormat="1" applyFont="1" applyBorder="1" applyAlignment="1" applyProtection="1">
      <alignment horizontal="center"/>
    </xf>
    <xf numFmtId="2" fontId="24" fillId="0" borderId="66" xfId="0" applyNumberFormat="1" applyFont="1" applyFill="1" applyBorder="1" applyAlignment="1" applyProtection="1">
      <alignment horizontal="center"/>
    </xf>
    <xf numFmtId="2" fontId="29" fillId="0" borderId="66" xfId="0" applyNumberFormat="1" applyFont="1" applyFill="1" applyBorder="1" applyAlignment="1" applyProtection="1">
      <alignment horizontal="center"/>
    </xf>
    <xf numFmtId="2" fontId="23" fillId="0" borderId="81" xfId="0" applyNumberFormat="1" applyFont="1" applyFill="1" applyBorder="1" applyAlignment="1" applyProtection="1">
      <alignment horizontal="center"/>
    </xf>
    <xf numFmtId="169" fontId="30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/>
    </xf>
    <xf numFmtId="169" fontId="27" fillId="0" borderId="0" xfId="0" applyNumberFormat="1" applyFont="1" applyBorder="1" applyAlignment="1" applyProtection="1">
      <alignment horizontal="center" vertical="center"/>
    </xf>
    <xf numFmtId="2" fontId="25" fillId="3" borderId="17" xfId="0" applyNumberFormat="1" applyFont="1" applyFill="1" applyBorder="1" applyAlignment="1" applyProtection="1">
      <alignment horizontal="center"/>
      <protection locked="0"/>
    </xf>
    <xf numFmtId="2" fontId="24" fillId="4" borderId="44" xfId="0" applyNumberFormat="1" applyFont="1" applyFill="1" applyBorder="1" applyAlignment="1" applyProtection="1">
      <alignment horizontal="center"/>
      <protection locked="0"/>
    </xf>
    <xf numFmtId="2" fontId="24" fillId="0" borderId="37" xfId="0" applyNumberFormat="1" applyFont="1" applyFill="1" applyBorder="1" applyAlignment="1" applyProtection="1">
      <alignment horizontal="center"/>
      <protection locked="0"/>
    </xf>
    <xf numFmtId="2" fontId="24" fillId="4" borderId="37" xfId="0" applyNumberFormat="1" applyFont="1" applyFill="1" applyBorder="1" applyAlignment="1" applyProtection="1">
      <alignment horizontal="center"/>
      <protection locked="0"/>
    </xf>
    <xf numFmtId="2" fontId="24" fillId="4" borderId="38" xfId="0" applyNumberFormat="1" applyFont="1" applyFill="1" applyBorder="1" applyAlignment="1" applyProtection="1">
      <alignment horizontal="center"/>
      <protection locked="0"/>
    </xf>
    <xf numFmtId="169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/>
    </xf>
    <xf numFmtId="2" fontId="24" fillId="0" borderId="44" xfId="0" applyNumberFormat="1" applyFont="1" applyFill="1" applyBorder="1" applyAlignment="1" applyProtection="1">
      <alignment horizontal="center"/>
      <protection locked="0"/>
    </xf>
    <xf numFmtId="2" fontId="24" fillId="0" borderId="35" xfId="0" applyNumberFormat="1" applyFont="1" applyFill="1" applyBorder="1" applyAlignment="1" applyProtection="1">
      <alignment horizontal="center"/>
      <protection locked="0"/>
    </xf>
    <xf numFmtId="2" fontId="24" fillId="0" borderId="38" xfId="0" applyNumberFormat="1" applyFont="1" applyFill="1" applyBorder="1" applyAlignment="1" applyProtection="1">
      <alignment horizontal="center"/>
      <protection locked="0"/>
    </xf>
    <xf numFmtId="2" fontId="24" fillId="0" borderId="78" xfId="0" applyNumberFormat="1" applyFont="1" applyFill="1" applyBorder="1" applyAlignment="1" applyProtection="1">
      <alignment horizontal="center"/>
    </xf>
    <xf numFmtId="2" fontId="24" fillId="0" borderId="79" xfId="0" applyNumberFormat="1" applyFont="1" applyFill="1" applyBorder="1" applyAlignment="1" applyProtection="1">
      <alignment horizontal="center"/>
    </xf>
    <xf numFmtId="2" fontId="24" fillId="0" borderId="80" xfId="0" applyNumberFormat="1" applyFont="1" applyFill="1" applyBorder="1" applyAlignment="1" applyProtection="1">
      <alignment horizontal="center"/>
    </xf>
    <xf numFmtId="2" fontId="24" fillId="3" borderId="0" xfId="0" applyNumberFormat="1" applyFont="1" applyFill="1" applyBorder="1" applyAlignment="1" applyProtection="1">
      <alignment horizontal="center"/>
      <protection locked="0"/>
    </xf>
    <xf numFmtId="2" fontId="24" fillId="2" borderId="0" xfId="0" applyNumberFormat="1" applyFont="1" applyFill="1" applyBorder="1" applyAlignment="1" applyProtection="1">
      <alignment horizontal="center"/>
      <protection locked="0"/>
    </xf>
    <xf numFmtId="2" fontId="24" fillId="3" borderId="17" xfId="0" applyNumberFormat="1" applyFont="1" applyFill="1" applyBorder="1" applyAlignment="1" applyProtection="1">
      <alignment horizontal="center"/>
      <protection locked="0"/>
    </xf>
    <xf numFmtId="2" fontId="24" fillId="0" borderId="42" xfId="0" applyNumberFormat="1" applyFont="1" applyFill="1" applyBorder="1" applyAlignment="1" applyProtection="1">
      <alignment horizontal="center"/>
      <protection locked="0"/>
    </xf>
    <xf numFmtId="2" fontId="24" fillId="2" borderId="17" xfId="0" applyNumberFormat="1" applyFont="1" applyFill="1" applyBorder="1" applyAlignment="1" applyProtection="1">
      <alignment horizontal="center"/>
      <protection locked="0"/>
    </xf>
    <xf numFmtId="2" fontId="24" fillId="4" borderId="35" xfId="0" applyNumberFormat="1" applyFont="1" applyFill="1" applyBorder="1" applyAlignment="1" applyProtection="1">
      <alignment horizontal="center"/>
      <protection locked="0"/>
    </xf>
    <xf numFmtId="2" fontId="31" fillId="0" borderId="37" xfId="0" applyNumberFormat="1" applyFont="1" applyFill="1" applyBorder="1" applyAlignment="1" applyProtection="1">
      <alignment horizontal="center"/>
      <protection locked="0"/>
    </xf>
    <xf numFmtId="2" fontId="24" fillId="0" borderId="42" xfId="0" applyNumberFormat="1" applyFont="1" applyFill="1" applyBorder="1" applyAlignment="1" applyProtection="1">
      <alignment horizontal="center"/>
    </xf>
    <xf numFmtId="2" fontId="29" fillId="4" borderId="65" xfId="0" applyNumberFormat="1" applyFont="1" applyFill="1" applyBorder="1" applyAlignment="1" applyProtection="1">
      <alignment horizontal="center"/>
      <protection locked="0"/>
    </xf>
    <xf numFmtId="2" fontId="29" fillId="0" borderId="7" xfId="0" applyNumberFormat="1" applyFont="1" applyFill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center"/>
      <protection locked="0"/>
    </xf>
    <xf numFmtId="2" fontId="29" fillId="4" borderId="7" xfId="0" applyNumberFormat="1" applyFont="1" applyFill="1" applyBorder="1" applyAlignment="1" applyProtection="1">
      <alignment horizontal="center"/>
      <protection locked="0"/>
    </xf>
    <xf numFmtId="2" fontId="29" fillId="4" borderId="8" xfId="0" applyNumberFormat="1" applyFont="1" applyFill="1" applyBorder="1" applyAlignment="1" applyProtection="1">
      <alignment horizontal="center"/>
      <protection locked="0"/>
    </xf>
    <xf numFmtId="169" fontId="32" fillId="0" borderId="0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/>
    </xf>
    <xf numFmtId="2" fontId="29" fillId="0" borderId="36" xfId="0" applyNumberFormat="1" applyFont="1" applyFill="1" applyBorder="1" applyAlignment="1" applyProtection="1">
      <alignment horizontal="center"/>
    </xf>
    <xf numFmtId="1" fontId="29" fillId="0" borderId="37" xfId="0" applyNumberFormat="1" applyFont="1" applyFill="1" applyBorder="1" applyAlignment="1" applyProtection="1">
      <alignment horizontal="center"/>
    </xf>
    <xf numFmtId="2" fontId="29" fillId="0" borderId="38" xfId="0" applyNumberFormat="1" applyFont="1" applyFill="1" applyBorder="1" applyAlignment="1" applyProtection="1">
      <alignment horizontal="center"/>
    </xf>
    <xf numFmtId="2" fontId="29" fillId="0" borderId="12" xfId="0" applyNumberFormat="1" applyFont="1" applyFill="1" applyBorder="1" applyAlignment="1" applyProtection="1">
      <alignment horizontal="center"/>
      <protection locked="0"/>
    </xf>
    <xf numFmtId="2" fontId="29" fillId="0" borderId="8" xfId="0" applyNumberFormat="1" applyFont="1" applyFill="1" applyBorder="1" applyAlignment="1" applyProtection="1">
      <alignment horizontal="center"/>
      <protection locked="0"/>
    </xf>
    <xf numFmtId="2" fontId="29" fillId="0" borderId="39" xfId="0" applyNumberFormat="1" applyFont="1" applyFill="1" applyBorder="1" applyAlignment="1" applyProtection="1">
      <alignment horizontal="center"/>
    </xf>
    <xf numFmtId="2" fontId="29" fillId="0" borderId="52" xfId="0" applyNumberFormat="1" applyFont="1" applyFill="1" applyBorder="1" applyAlignment="1" applyProtection="1">
      <alignment horizontal="center"/>
    </xf>
    <xf numFmtId="2" fontId="29" fillId="0" borderId="69" xfId="0" applyNumberFormat="1" applyFont="1" applyFill="1" applyBorder="1" applyAlignment="1" applyProtection="1">
      <alignment horizontal="center"/>
    </xf>
    <xf numFmtId="2" fontId="29" fillId="0" borderId="68" xfId="0" applyNumberFormat="1" applyFont="1" applyFill="1" applyBorder="1" applyAlignment="1" applyProtection="1">
      <alignment horizontal="center"/>
    </xf>
    <xf numFmtId="2" fontId="29" fillId="0" borderId="65" xfId="0" applyNumberFormat="1" applyFont="1" applyFill="1" applyBorder="1" applyAlignment="1" applyProtection="1">
      <alignment horizontal="center"/>
      <protection locked="0"/>
    </xf>
    <xf numFmtId="2" fontId="29" fillId="3" borderId="2" xfId="0" applyNumberFormat="1" applyFont="1" applyFill="1" applyBorder="1" applyAlignment="1" applyProtection="1">
      <alignment horizontal="center"/>
      <protection locked="0"/>
    </xf>
    <xf numFmtId="2" fontId="29" fillId="0" borderId="44" xfId="0" applyNumberFormat="1" applyFont="1" applyFill="1" applyBorder="1" applyAlignment="1" applyProtection="1">
      <alignment horizontal="center"/>
      <protection locked="0"/>
    </xf>
    <xf numFmtId="2" fontId="29" fillId="0" borderId="37" xfId="0" applyNumberFormat="1" applyFont="1" applyFill="1" applyBorder="1" applyAlignment="1" applyProtection="1">
      <alignment horizontal="center"/>
      <protection locked="0"/>
    </xf>
    <xf numFmtId="2" fontId="29" fillId="4" borderId="37" xfId="0" applyNumberFormat="1" applyFont="1" applyFill="1" applyBorder="1" applyAlignment="1" applyProtection="1">
      <alignment horizontal="center"/>
      <protection locked="0"/>
    </xf>
    <xf numFmtId="2" fontId="29" fillId="0" borderId="38" xfId="0" applyNumberFormat="1" applyFont="1" applyFill="1" applyBorder="1" applyAlignment="1" applyProtection="1">
      <alignment horizontal="center"/>
      <protection locked="0"/>
    </xf>
    <xf numFmtId="2" fontId="29" fillId="0" borderId="35" xfId="0" applyNumberFormat="1" applyFont="1" applyFill="1" applyBorder="1" applyAlignment="1" applyProtection="1">
      <alignment horizontal="center"/>
      <protection locked="0"/>
    </xf>
    <xf numFmtId="2" fontId="29" fillId="0" borderId="78" xfId="0" applyNumberFormat="1" applyFont="1" applyFill="1" applyBorder="1" applyAlignment="1" applyProtection="1">
      <alignment horizontal="center"/>
    </xf>
    <xf numFmtId="2" fontId="29" fillId="0" borderId="79" xfId="0" applyNumberFormat="1" applyFont="1" applyFill="1" applyBorder="1" applyAlignment="1" applyProtection="1">
      <alignment horizontal="center"/>
    </xf>
    <xf numFmtId="2" fontId="29" fillId="0" borderId="80" xfId="0" applyNumberFormat="1" applyFont="1" applyFill="1" applyBorder="1" applyAlignment="1" applyProtection="1">
      <alignment horizontal="center"/>
    </xf>
    <xf numFmtId="2" fontId="29" fillId="3" borderId="31" xfId="0" applyNumberFormat="1" applyFont="1" applyFill="1" applyBorder="1" applyAlignment="1" applyProtection="1">
      <alignment horizontal="center"/>
      <protection locked="0"/>
    </xf>
    <xf numFmtId="2" fontId="29" fillId="5" borderId="65" xfId="0" applyNumberFormat="1" applyFont="1" applyFill="1" applyBorder="1" applyAlignment="1" applyProtection="1">
      <alignment horizontal="center"/>
      <protection locked="0"/>
    </xf>
    <xf numFmtId="2" fontId="29" fillId="4" borderId="12" xfId="0" applyNumberFormat="1" applyFont="1" applyFill="1" applyBorder="1" applyAlignment="1" applyProtection="1">
      <alignment horizontal="center"/>
      <protection locked="0"/>
    </xf>
    <xf numFmtId="2" fontId="29" fillId="0" borderId="67" xfId="0" applyNumberFormat="1" applyFont="1" applyFill="1" applyBorder="1" applyAlignment="1" applyProtection="1">
      <alignment horizontal="center"/>
    </xf>
    <xf numFmtId="169" fontId="19" fillId="0" borderId="0" xfId="0" applyNumberFormat="1" applyFont="1" applyFill="1" applyBorder="1" applyAlignment="1" applyProtection="1">
      <alignment horizontal="center" vertical="center"/>
    </xf>
    <xf numFmtId="2" fontId="25" fillId="12" borderId="37" xfId="0" applyNumberFormat="1" applyFont="1" applyFill="1" applyBorder="1" applyAlignment="1" applyProtection="1">
      <alignment horizontal="center"/>
      <protection locked="0"/>
    </xf>
    <xf numFmtId="2" fontId="24" fillId="12" borderId="37" xfId="0" applyNumberFormat="1" applyFont="1" applyFill="1" applyBorder="1" applyAlignment="1" applyProtection="1">
      <alignment horizontal="center"/>
      <protection locked="0"/>
    </xf>
    <xf numFmtId="2" fontId="29" fillId="12" borderId="7" xfId="0" applyNumberFormat="1" applyFont="1" applyFill="1" applyBorder="1" applyAlignment="1" applyProtection="1">
      <alignment horizontal="center"/>
      <protection locked="0"/>
    </xf>
    <xf numFmtId="2" fontId="23" fillId="1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82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 textRotation="90"/>
    </xf>
    <xf numFmtId="0" fontId="4" fillId="0" borderId="0" xfId="0" applyFont="1" applyBorder="1" applyAlignment="1" applyProtection="1">
      <alignment horizontal="center" textRotation="90"/>
    </xf>
    <xf numFmtId="0" fontId="5" fillId="0" borderId="83" xfId="0" applyFont="1" applyBorder="1" applyAlignment="1" applyProtection="1">
      <alignment horizontal="center" textRotation="90"/>
    </xf>
    <xf numFmtId="0" fontId="4" fillId="0" borderId="82" xfId="0" applyFont="1" applyBorder="1" applyAlignment="1" applyProtection="1">
      <alignment horizontal="center" textRotation="90"/>
    </xf>
    <xf numFmtId="169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3" fillId="0" borderId="84" xfId="0" applyFont="1" applyBorder="1" applyAlignment="1" applyProtection="1">
      <alignment horizontal="center"/>
    </xf>
    <xf numFmtId="2" fontId="23" fillId="4" borderId="62" xfId="0" applyNumberFormat="1" applyFont="1" applyFill="1" applyBorder="1" applyAlignment="1" applyProtection="1">
      <alignment horizontal="center"/>
      <protection locked="0"/>
    </xf>
    <xf numFmtId="2" fontId="23" fillId="12" borderId="47" xfId="0" applyNumberFormat="1" applyFont="1" applyFill="1" applyBorder="1" applyAlignment="1" applyProtection="1">
      <alignment horizontal="center"/>
      <protection locked="0"/>
    </xf>
    <xf numFmtId="2" fontId="23" fillId="0" borderId="47" xfId="0" applyNumberFormat="1" applyFont="1" applyFill="1" applyBorder="1" applyAlignment="1" applyProtection="1">
      <alignment horizontal="center"/>
      <protection locked="0"/>
    </xf>
    <xf numFmtId="2" fontId="23" fillId="4" borderId="47" xfId="0" applyNumberFormat="1" applyFont="1" applyFill="1" applyBorder="1" applyAlignment="1" applyProtection="1">
      <alignment horizontal="center"/>
      <protection locked="0"/>
    </xf>
    <xf numFmtId="169" fontId="30" fillId="0" borderId="4" xfId="0" applyNumberFormat="1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/>
    </xf>
    <xf numFmtId="2" fontId="23" fillId="0" borderId="84" xfId="0" applyNumberFormat="1" applyFont="1" applyFill="1" applyBorder="1" applyAlignment="1" applyProtection="1">
      <alignment horizontal="center"/>
      <protection locked="0"/>
    </xf>
    <xf numFmtId="2" fontId="23" fillId="0" borderId="48" xfId="0" applyNumberFormat="1" applyFont="1" applyFill="1" applyBorder="1" applyAlignment="1" applyProtection="1">
      <alignment horizontal="center"/>
      <protection locked="0"/>
    </xf>
    <xf numFmtId="169" fontId="32" fillId="0" borderId="4" xfId="0" applyNumberFormat="1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/>
    </xf>
    <xf numFmtId="0" fontId="30" fillId="0" borderId="22" xfId="0" applyFont="1" applyBorder="1" applyAlignment="1" applyProtection="1">
      <alignment horizontal="center"/>
    </xf>
    <xf numFmtId="0" fontId="27" fillId="0" borderId="22" xfId="0" applyFont="1" applyBorder="1" applyAlignment="1" applyProtection="1">
      <alignment horizontal="center"/>
    </xf>
    <xf numFmtId="2" fontId="33" fillId="0" borderId="5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9" borderId="4" xfId="0" applyNumberFormat="1" applyFont="1" applyFill="1" applyBorder="1" applyAlignment="1">
      <alignment vertical="center"/>
    </xf>
    <xf numFmtId="0" fontId="2" fillId="9" borderId="0" xfId="0" applyNumberFormat="1" applyFont="1" applyFill="1" applyBorder="1" applyAlignment="1">
      <alignment horizontal="center" vertical="top"/>
    </xf>
    <xf numFmtId="0" fontId="2" fillId="9" borderId="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textRotation="90"/>
    </xf>
    <xf numFmtId="0" fontId="23" fillId="0" borderId="85" xfId="0" applyNumberFormat="1" applyFont="1" applyBorder="1" applyAlignment="1" applyProtection="1">
      <alignment vertical="center" textRotation="90"/>
    </xf>
    <xf numFmtId="0" fontId="25" fillId="0" borderId="15" xfId="0" applyNumberFormat="1" applyFont="1" applyBorder="1" applyAlignment="1" applyProtection="1">
      <alignment vertical="center" textRotation="90"/>
    </xf>
    <xf numFmtId="0" fontId="24" fillId="0" borderId="15" xfId="0" applyNumberFormat="1" applyFont="1" applyBorder="1" applyAlignment="1" applyProtection="1">
      <alignment vertical="center" textRotation="90"/>
    </xf>
    <xf numFmtId="0" fontId="29" fillId="0" borderId="59" xfId="0" applyNumberFormat="1" applyFont="1" applyBorder="1" applyAlignment="1" applyProtection="1">
      <alignment vertical="center" textRotation="90"/>
    </xf>
    <xf numFmtId="0" fontId="23" fillId="0" borderId="58" xfId="0" applyNumberFormat="1" applyFont="1" applyBorder="1" applyAlignment="1" applyProtection="1">
      <alignment vertical="center" textRotation="90"/>
    </xf>
    <xf numFmtId="0" fontId="29" fillId="0" borderId="15" xfId="0" applyNumberFormat="1" applyFont="1" applyBorder="1" applyAlignment="1" applyProtection="1">
      <alignment vertical="center" textRotation="90"/>
    </xf>
    <xf numFmtId="0" fontId="29" fillId="0" borderId="60" xfId="0" applyNumberFormat="1" applyFont="1" applyBorder="1" applyAlignment="1" applyProtection="1">
      <alignment vertical="center" textRotation="90"/>
    </xf>
    <xf numFmtId="0" fontId="34" fillId="2" borderId="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35" fillId="0" borderId="52" xfId="0" applyNumberFormat="1" applyFont="1" applyFill="1" applyBorder="1" applyAlignment="1" applyProtection="1">
      <alignment horizontal="center" vertical="center" wrapText="1"/>
    </xf>
    <xf numFmtId="2" fontId="23" fillId="0" borderId="84" xfId="0" applyNumberFormat="1" applyFont="1" applyFill="1" applyBorder="1" applyAlignment="1" applyProtection="1">
      <alignment horizontal="center"/>
    </xf>
    <xf numFmtId="2" fontId="24" fillId="0" borderId="35" xfId="0" applyNumberFormat="1" applyFont="1" applyFill="1" applyBorder="1" applyAlignment="1" applyProtection="1">
      <alignment horizontal="center"/>
    </xf>
    <xf numFmtId="2" fontId="29" fillId="0" borderId="35" xfId="0" applyNumberFormat="1" applyFont="1" applyFill="1" applyBorder="1" applyAlignment="1" applyProtection="1">
      <alignment horizontal="center"/>
    </xf>
    <xf numFmtId="2" fontId="23" fillId="0" borderId="86" xfId="0" applyNumberFormat="1" applyFont="1" applyFill="1" applyBorder="1" applyAlignment="1" applyProtection="1">
      <alignment horizontal="center"/>
    </xf>
    <xf numFmtId="2" fontId="25" fillId="0" borderId="87" xfId="0" applyNumberFormat="1" applyFont="1" applyFill="1" applyBorder="1" applyAlignment="1" applyProtection="1">
      <alignment horizontal="center"/>
    </xf>
    <xf numFmtId="2" fontId="24" fillId="0" borderId="87" xfId="0" applyNumberFormat="1" applyFont="1" applyFill="1" applyBorder="1" applyAlignment="1" applyProtection="1">
      <alignment horizontal="center"/>
    </xf>
    <xf numFmtId="2" fontId="29" fillId="0" borderId="87" xfId="0" applyNumberFormat="1" applyFont="1" applyFill="1" applyBorder="1" applyAlignment="1" applyProtection="1">
      <alignment horizontal="center"/>
    </xf>
    <xf numFmtId="2" fontId="24" fillId="0" borderId="88" xfId="0" applyNumberFormat="1" applyFont="1" applyFill="1" applyBorder="1" applyAlignment="1" applyProtection="1">
      <alignment horizontal="center"/>
    </xf>
    <xf numFmtId="2" fontId="29" fillId="0" borderId="88" xfId="0" applyNumberFormat="1" applyFont="1" applyFill="1" applyBorder="1" applyAlignment="1" applyProtection="1">
      <alignment horizontal="center"/>
    </xf>
    <xf numFmtId="0" fontId="4" fillId="0" borderId="83" xfId="0" applyFont="1" applyBorder="1" applyAlignment="1" applyProtection="1">
      <alignment horizontal="center" textRotation="90"/>
    </xf>
    <xf numFmtId="2" fontId="22" fillId="6" borderId="89" xfId="0" applyNumberFormat="1" applyFont="1" applyFill="1" applyBorder="1" applyAlignment="1" applyProtection="1">
      <alignment horizontal="center"/>
    </xf>
    <xf numFmtId="2" fontId="22" fillId="7" borderId="83" xfId="0" applyNumberFormat="1" applyFont="1" applyFill="1" applyBorder="1" applyAlignment="1" applyProtection="1">
      <alignment horizontal="center"/>
    </xf>
    <xf numFmtId="2" fontId="22" fillId="8" borderId="83" xfId="0" applyNumberFormat="1" applyFont="1" applyFill="1" applyBorder="1" applyAlignment="1" applyProtection="1">
      <alignment horizontal="center"/>
    </xf>
    <xf numFmtId="2" fontId="22" fillId="11" borderId="90" xfId="0" applyNumberFormat="1" applyFont="1" applyFill="1" applyBorder="1" applyAlignment="1" applyProtection="1">
      <alignment horizontal="center"/>
    </xf>
    <xf numFmtId="2" fontId="23" fillId="0" borderId="92" xfId="0" applyNumberFormat="1" applyFont="1" applyFill="1" applyBorder="1" applyAlignment="1" applyProtection="1">
      <alignment horizontal="center"/>
    </xf>
    <xf numFmtId="2" fontId="25" fillId="0" borderId="91" xfId="0" applyNumberFormat="1" applyFont="1" applyFill="1" applyBorder="1" applyAlignment="1" applyProtection="1">
      <alignment horizontal="center"/>
    </xf>
    <xf numFmtId="0" fontId="2" fillId="9" borderId="61" xfId="0" applyFont="1" applyFill="1" applyBorder="1" applyAlignment="1">
      <alignment horizontal="right" vertical="top"/>
    </xf>
    <xf numFmtId="2" fontId="2" fillId="9" borderId="20" xfId="0" applyNumberFormat="1" applyFont="1" applyFill="1" applyBorder="1" applyAlignment="1" applyProtection="1">
      <alignment horizontal="left"/>
      <protection locked="0"/>
    </xf>
    <xf numFmtId="2" fontId="2" fillId="9" borderId="22" xfId="0" applyNumberFormat="1" applyFont="1" applyFill="1" applyBorder="1" applyAlignment="1" applyProtection="1">
      <alignment horizontal="left"/>
      <protection locked="0"/>
    </xf>
    <xf numFmtId="2" fontId="2" fillId="9" borderId="61" xfId="0" applyNumberFormat="1" applyFont="1" applyFill="1" applyBorder="1" applyAlignment="1" applyProtection="1">
      <alignment horizontal="left"/>
      <protection locked="0"/>
    </xf>
    <xf numFmtId="2" fontId="2" fillId="9" borderId="19" xfId="0" applyNumberFormat="1" applyFont="1" applyFill="1" applyBorder="1" applyAlignment="1" applyProtection="1">
      <alignment horizontal="right"/>
      <protection locked="0"/>
    </xf>
    <xf numFmtId="2" fontId="2" fillId="9" borderId="21" xfId="0" applyNumberFormat="1" applyFont="1" applyFill="1" applyBorder="1" applyAlignment="1" applyProtection="1">
      <alignment horizontal="right"/>
      <protection locked="0"/>
    </xf>
    <xf numFmtId="2" fontId="2" fillId="9" borderId="63" xfId="0" applyNumberFormat="1" applyFont="1" applyFill="1" applyBorder="1" applyAlignment="1">
      <alignment horizontal="right"/>
    </xf>
    <xf numFmtId="2" fontId="2" fillId="9" borderId="4" xfId="0" applyNumberFormat="1" applyFont="1" applyFill="1" applyBorder="1" applyAlignment="1" applyProtection="1">
      <alignment horizontal="center"/>
    </xf>
    <xf numFmtId="2" fontId="2" fillId="9" borderId="0" xfId="0" applyNumberFormat="1" applyFont="1" applyFill="1" applyBorder="1" applyAlignment="1" applyProtection="1">
      <alignment horizontal="center"/>
    </xf>
    <xf numFmtId="2" fontId="2" fillId="9" borderId="4" xfId="0" applyNumberFormat="1" applyFont="1" applyFill="1" applyBorder="1" applyAlignment="1" applyProtection="1">
      <alignment horizontal="right"/>
    </xf>
    <xf numFmtId="2" fontId="2" fillId="9" borderId="0" xfId="0" applyNumberFormat="1" applyFont="1" applyFill="1" applyBorder="1" applyAlignment="1" applyProtection="1">
      <alignment horizontal="right"/>
    </xf>
    <xf numFmtId="0" fontId="4" fillId="0" borderId="30" xfId="0" applyFont="1" applyBorder="1" applyAlignment="1" applyProtection="1">
      <alignment horizontal="center" vertical="center" textRotation="90" wrapText="1"/>
    </xf>
    <xf numFmtId="0" fontId="4" fillId="0" borderId="18" xfId="0" applyFont="1" applyBorder="1" applyAlignment="1" applyProtection="1">
      <alignment horizontal="center" vertical="center" textRotation="90" wrapText="1"/>
    </xf>
    <xf numFmtId="0" fontId="4" fillId="0" borderId="64" xfId="0" applyFont="1" applyBorder="1" applyAlignment="1" applyProtection="1">
      <alignment horizontal="center" vertical="center" textRotation="90" wrapText="1"/>
    </xf>
    <xf numFmtId="2" fontId="2" fillId="0" borderId="56" xfId="0" applyNumberFormat="1" applyFont="1" applyFill="1" applyBorder="1" applyAlignment="1" applyProtection="1">
      <alignment horizontal="left"/>
      <protection locked="0"/>
    </xf>
    <xf numFmtId="2" fontId="2" fillId="0" borderId="57" xfId="0" applyNumberFormat="1" applyFont="1" applyFill="1" applyBorder="1" applyAlignment="1" applyProtection="1">
      <alignment horizontal="left"/>
      <protection locked="0"/>
    </xf>
    <xf numFmtId="2" fontId="2" fillId="0" borderId="41" xfId="0" applyNumberFormat="1" applyFont="1" applyFill="1" applyBorder="1" applyAlignment="1" applyProtection="1">
      <alignment horizontal="left"/>
      <protection locked="0"/>
    </xf>
    <xf numFmtId="2" fontId="2" fillId="0" borderId="42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top"/>
    </xf>
    <xf numFmtId="2" fontId="21" fillId="9" borderId="74" xfId="0" applyNumberFormat="1" applyFont="1" applyFill="1" applyBorder="1" applyAlignment="1" applyProtection="1">
      <alignment horizontal="center" vertical="center" wrapText="1"/>
    </xf>
    <xf numFmtId="2" fontId="21" fillId="9" borderId="72" xfId="0" applyNumberFormat="1" applyFont="1" applyFill="1" applyBorder="1" applyAlignment="1" applyProtection="1">
      <alignment horizontal="center" vertical="center" wrapText="1"/>
    </xf>
    <xf numFmtId="2" fontId="21" fillId="9" borderId="73" xfId="0" applyNumberFormat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2" fontId="2" fillId="0" borderId="33" xfId="0" applyNumberFormat="1" applyFont="1" applyFill="1" applyBorder="1" applyAlignment="1" applyProtection="1">
      <alignment horizontal="left"/>
      <protection locked="0"/>
    </xf>
    <xf numFmtId="2" fontId="2" fillId="0" borderId="34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Border="1" applyAlignment="1"/>
    <xf numFmtId="165" fontId="17" fillId="0" borderId="3" xfId="0" applyNumberFormat="1" applyFont="1" applyBorder="1" applyAlignment="1" applyProtection="1">
      <alignment horizontal="center" vertical="center" textRotation="90"/>
    </xf>
    <xf numFmtId="14" fontId="19" fillId="0" borderId="0" xfId="0" applyNumberFormat="1" applyFont="1" applyAlignment="1">
      <alignment horizontal="center"/>
    </xf>
    <xf numFmtId="14" fontId="1" fillId="0" borderId="23" xfId="0" applyNumberFormat="1" applyFont="1" applyBorder="1" applyAlignment="1" applyProtection="1">
      <alignment horizontal="left" vertical="center"/>
      <protection locked="0"/>
    </xf>
    <xf numFmtId="166" fontId="1" fillId="0" borderId="13" xfId="0" applyNumberFormat="1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88"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</dxfs>
  <tableStyles count="0" defaultTableStyle="TableStyleMedium9" defaultPivotStyle="PivotStyleLight16"/>
  <colors>
    <mruColors>
      <color rgb="FFFFFF99"/>
      <color rgb="FFCC00FF"/>
      <color rgb="FF0000FF"/>
      <color rgb="FFFFFF00"/>
      <color rgb="FFFFCC66"/>
      <color rgb="FF00D661"/>
      <color rgb="FF66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226219</xdr:rowOff>
    </xdr:from>
    <xdr:to>
      <xdr:col>19</xdr:col>
      <xdr:colOff>23814</xdr:colOff>
      <xdr:row>5</xdr:row>
      <xdr:rowOff>35719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62500" y="464344"/>
          <a:ext cx="1357314" cy="72628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52387</xdr:colOff>
      <xdr:row>2</xdr:row>
      <xdr:rowOff>19050</xdr:rowOff>
    </xdr:from>
    <xdr:to>
      <xdr:col>3</xdr:col>
      <xdr:colOff>420610</xdr:colOff>
      <xdr:row>4</xdr:row>
      <xdr:rowOff>108713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495300"/>
          <a:ext cx="892098" cy="411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63"/>
  <sheetViews>
    <sheetView showGridLines="0" tabSelected="1" zoomScale="60" zoomScaleNormal="60" workbookViewId="0">
      <pane xSplit="5" ySplit="11" topLeftCell="F12" activePane="bottomRight" state="frozen"/>
      <selection pane="topRight" activeCell="D1" sqref="D1"/>
      <selection pane="bottomLeft" activeCell="A5" sqref="A5"/>
      <selection pane="bottomRight" activeCell="H4" sqref="H4:L4"/>
    </sheetView>
  </sheetViews>
  <sheetFormatPr defaultColWidth="9.140625" defaultRowHeight="12.75" x14ac:dyDescent="0.2"/>
  <cols>
    <col min="1" max="1" width="7.85546875" style="3" customWidth="1"/>
    <col min="2" max="2" width="6.5703125" style="3" hidden="1" customWidth="1"/>
    <col min="3" max="3" width="9.140625" style="3" hidden="1" customWidth="1"/>
    <col min="4" max="4" width="11.28515625" style="2" customWidth="1"/>
    <col min="5" max="5" width="7.42578125" style="3" customWidth="1"/>
    <col min="6" max="20" width="5.42578125" style="2" customWidth="1"/>
    <col min="21" max="21" width="6.7109375" style="2" hidden="1" customWidth="1"/>
    <col min="22" max="22" width="7.5703125" hidden="1" customWidth="1"/>
    <col min="23" max="23" width="7.28515625" style="2" customWidth="1"/>
    <col min="24" max="24" width="4.85546875" style="2" customWidth="1"/>
    <col min="25" max="25" width="7.28515625" style="2" customWidth="1"/>
    <col min="26" max="26" width="18" style="293" hidden="1" customWidth="1"/>
    <col min="27" max="30" width="5.7109375" style="2" customWidth="1"/>
    <col min="31" max="40" width="5.5703125" style="2" customWidth="1"/>
    <col min="41" max="42" width="5.42578125" style="2" customWidth="1"/>
    <col min="43" max="43" width="9.5703125" style="2" hidden="1" customWidth="1"/>
    <col min="44" max="44" width="11.28515625" hidden="1" customWidth="1"/>
    <col min="45" max="45" width="7.42578125" style="2" customWidth="1"/>
    <col min="46" max="46" width="5.7109375" style="2" customWidth="1"/>
    <col min="47" max="47" width="7.42578125" style="2" customWidth="1"/>
    <col min="48" max="48" width="7.7109375" style="2" customWidth="1"/>
    <col min="49" max="49" width="5.42578125" style="2" customWidth="1"/>
    <col min="50" max="50" width="8.7109375" style="2" customWidth="1"/>
    <col min="51" max="53" width="8.140625" style="2" customWidth="1"/>
    <col min="54" max="54" width="8.85546875" style="2" customWidth="1"/>
    <col min="55" max="55" width="8" style="3" customWidth="1"/>
    <col min="56" max="56" width="11.5703125" style="3" customWidth="1"/>
    <col min="57" max="58" width="14.5703125" style="3" customWidth="1"/>
    <col min="59" max="60" width="9.140625" style="3"/>
    <col min="61" max="61" width="9.85546875" style="3" hidden="1" customWidth="1"/>
    <col min="62" max="62" width="7.28515625" style="3" hidden="1" customWidth="1"/>
    <col min="63" max="63" width="6.85546875" style="3" hidden="1" customWidth="1"/>
    <col min="64" max="64" width="3.42578125" style="3" hidden="1" customWidth="1"/>
    <col min="65" max="65" width="2.5703125" style="3" hidden="1" customWidth="1"/>
    <col min="66" max="66" width="9.140625" style="3" hidden="1" customWidth="1"/>
    <col min="67" max="16384" width="9.140625" style="3"/>
  </cols>
  <sheetData>
    <row r="1" spans="1:65" ht="18.75" customHeight="1" x14ac:dyDescent="0.2">
      <c r="A1" s="352" t="str">
        <f>YEAR(A11)&amp;" DPH Electronic Leave Card"</f>
        <v>2018 DPH Electronic Leave Card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42"/>
      <c r="W1" s="356">
        <f>EDATE(StartDate,60)</f>
        <v>1827</v>
      </c>
      <c r="X1" s="356"/>
      <c r="Y1" s="356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42"/>
      <c r="AV1" s="43"/>
      <c r="AW1" s="59"/>
      <c r="AX1" s="59"/>
      <c r="AY1" s="60"/>
      <c r="AZ1" s="60"/>
      <c r="BA1" s="60"/>
    </row>
    <row r="2" spans="1:65" ht="18.75" customHeight="1" x14ac:dyDescent="0.2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42"/>
      <c r="W2" s="356">
        <f>EDATE(StartDate,120)</f>
        <v>3653</v>
      </c>
      <c r="X2" s="356"/>
      <c r="Y2" s="356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42"/>
      <c r="AV2"/>
      <c r="AW2"/>
      <c r="AX2"/>
      <c r="AY2" s="61"/>
      <c r="AZ2" s="61"/>
      <c r="BA2" s="61"/>
    </row>
    <row r="3" spans="1:65" ht="7.5" customHeight="1" thickBot="1" x14ac:dyDescent="0.25">
      <c r="A3" s="173">
        <f ca="1">TODAY()</f>
        <v>43080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W3" s="62"/>
      <c r="X3" s="62"/>
      <c r="Y3" s="62"/>
      <c r="AE3" s="183"/>
      <c r="AF3" s="183"/>
      <c r="AG3" s="183"/>
      <c r="AH3" s="183"/>
      <c r="AI3" s="183"/>
      <c r="AJ3" s="183"/>
      <c r="AK3" s="183"/>
      <c r="AL3" s="183"/>
      <c r="AM3" s="184"/>
      <c r="AN3" s="183"/>
      <c r="AO3" s="183"/>
      <c r="AP3" s="183"/>
      <c r="AQ3" s="42"/>
      <c r="AV3"/>
      <c r="AW3"/>
      <c r="AX3"/>
      <c r="AY3" s="61"/>
      <c r="AZ3" s="61"/>
      <c r="BA3" s="61"/>
    </row>
    <row r="4" spans="1:65" s="1" customFormat="1" ht="18" customHeight="1" x14ac:dyDescent="0.25">
      <c r="A4" s="19"/>
      <c r="B4" s="19"/>
      <c r="C4" s="19"/>
      <c r="D4" s="19"/>
      <c r="E4" s="19"/>
      <c r="F4" s="354" t="s">
        <v>20</v>
      </c>
      <c r="G4" s="354"/>
      <c r="H4" s="357"/>
      <c r="I4" s="357"/>
      <c r="J4" s="357"/>
      <c r="K4" s="357"/>
      <c r="L4" s="357"/>
      <c r="M4" s="63"/>
      <c r="N4"/>
      <c r="O4"/>
      <c r="P4" s="359" t="s">
        <v>25</v>
      </c>
      <c r="Q4" s="133"/>
      <c r="R4" s="134"/>
      <c r="S4" s="134"/>
      <c r="T4" s="135" t="s">
        <v>26</v>
      </c>
      <c r="U4" s="136"/>
      <c r="V4" s="137"/>
      <c r="W4" s="327"/>
      <c r="X4" s="156"/>
      <c r="Y4" s="330"/>
      <c r="Z4" s="294"/>
      <c r="AA4" s="127" t="s">
        <v>34</v>
      </c>
      <c r="AB4" s="138"/>
      <c r="AC4" s="138"/>
      <c r="AD4" s="139"/>
      <c r="AE4" s="185"/>
      <c r="AF4" s="337" t="s">
        <v>47</v>
      </c>
      <c r="AG4" s="133"/>
      <c r="AH4" s="186"/>
      <c r="AI4" s="186"/>
      <c r="AJ4" s="135" t="s">
        <v>39</v>
      </c>
      <c r="AK4" s="333" t="str">
        <f>IF(AV12="","",(AV12+AV16+AV20+AV24+AV28+AV32+AV36+AV40+AV44+AV48+AV52+AV56))</f>
        <v/>
      </c>
      <c r="AL4" s="135" t="s">
        <v>38</v>
      </c>
      <c r="AM4" s="335" t="str">
        <f>IF(ISERROR(AW12+AW16+AW20+AW24+AW28+AW32+AW36+AW40+AW44+AW48+AW52+AW56)=TRUE,"",AW12+AW16+AW20+AW24+AW28+AW32+AW36+AW40+AW44+AW48+AW52+AW56)</f>
        <v/>
      </c>
      <c r="AN4" s="187" t="s">
        <v>50</v>
      </c>
      <c r="AO4" s="188"/>
      <c r="AP4" s="189" t="str">
        <f>"("&amp;BK10&amp;")"</f>
        <v>()</v>
      </c>
      <c r="AQ4" s="45"/>
      <c r="AR4" s="68"/>
      <c r="AV4"/>
      <c r="AW4"/>
      <c r="AX4"/>
      <c r="AY4" s="178"/>
      <c r="AZ4" s="178"/>
      <c r="BA4" s="178"/>
      <c r="BB4" s="178"/>
      <c r="BC4" s="67"/>
      <c r="BD4" s="67"/>
      <c r="BE4" s="7"/>
      <c r="BF4" s="7"/>
    </row>
    <row r="5" spans="1:65" ht="18" customHeight="1" x14ac:dyDescent="0.25">
      <c r="A5" s="14"/>
      <c r="B5" s="14"/>
      <c r="C5" s="14"/>
      <c r="D5" s="14"/>
      <c r="F5" s="354" t="s">
        <v>28</v>
      </c>
      <c r="G5" s="354"/>
      <c r="H5" s="358"/>
      <c r="I5" s="358"/>
      <c r="J5" s="358"/>
      <c r="K5" s="358"/>
      <c r="L5" s="358"/>
      <c r="M5" s="64"/>
      <c r="N5"/>
      <c r="O5"/>
      <c r="P5" s="360"/>
      <c r="Q5" s="140"/>
      <c r="R5" s="141"/>
      <c r="S5" s="141"/>
      <c r="T5" s="97" t="s">
        <v>29</v>
      </c>
      <c r="U5" s="129"/>
      <c r="V5" s="142"/>
      <c r="W5" s="328"/>
      <c r="X5" s="157"/>
      <c r="Y5" s="331"/>
      <c r="Z5" s="295"/>
      <c r="AA5" s="128" t="s">
        <v>35</v>
      </c>
      <c r="AB5" s="130"/>
      <c r="AC5" s="131"/>
      <c r="AD5" s="143"/>
      <c r="AE5" s="183"/>
      <c r="AF5" s="338"/>
      <c r="AG5" s="140"/>
      <c r="AH5" s="190"/>
      <c r="AI5" s="190"/>
      <c r="AJ5" s="97" t="s">
        <v>40</v>
      </c>
      <c r="AK5" s="334" t="str">
        <f>IF(AV13="","",AV13+AV17+AV21+AV25+AV29+AV33+AV37+AV41+AV45+AV49+AV53+AV57)</f>
        <v/>
      </c>
      <c r="AL5" s="97" t="s">
        <v>38</v>
      </c>
      <c r="AM5" s="336" t="str">
        <f>IF(ISERROR(AW13+AW17+AW21+AW25+AW29+AW33+AW37+AW41+AW45+AW49+AW53+AW57)=TRUE,"",AW13+AW17+AW21+AW25+AW29+AW33+AW37+AW41+AW45+AW49+AW53+AW57)</f>
        <v/>
      </c>
      <c r="AN5" s="191" t="s">
        <v>50</v>
      </c>
      <c r="AO5" s="190"/>
      <c r="AP5" s="192" t="str">
        <f>"("&amp;BL10&amp;")"</f>
        <v>()</v>
      </c>
      <c r="AQ5" s="46"/>
      <c r="AR5" s="68"/>
      <c r="AV5"/>
      <c r="AW5"/>
      <c r="AX5"/>
      <c r="AY5" s="4"/>
      <c r="AZ5" s="4"/>
      <c r="BA5" s="4"/>
      <c r="BB5" s="4"/>
      <c r="BC5" s="67"/>
      <c r="BD5" s="67"/>
      <c r="BE5" s="4"/>
      <c r="BF5" s="4"/>
    </row>
    <row r="6" spans="1:65" ht="18" customHeight="1" x14ac:dyDescent="0.25">
      <c r="A6" s="14"/>
      <c r="B6" s="14"/>
      <c r="C6" s="14"/>
      <c r="D6" s="44"/>
      <c r="E6" s="162"/>
      <c r="F6" s="354" t="s">
        <v>19</v>
      </c>
      <c r="G6" s="354"/>
      <c r="H6" s="358"/>
      <c r="I6" s="358"/>
      <c r="J6" s="358"/>
      <c r="K6" s="358"/>
      <c r="L6" s="358"/>
      <c r="M6" s="64"/>
      <c r="N6"/>
      <c r="O6"/>
      <c r="P6" s="360"/>
      <c r="Q6" s="140"/>
      <c r="R6" s="141"/>
      <c r="S6" s="141"/>
      <c r="T6" s="97" t="s">
        <v>30</v>
      </c>
      <c r="U6" s="132"/>
      <c r="V6" s="142"/>
      <c r="W6" s="328"/>
      <c r="X6" s="158"/>
      <c r="Y6" s="331"/>
      <c r="Z6" s="295"/>
      <c r="AA6" s="128" t="s">
        <v>36</v>
      </c>
      <c r="AB6" s="131"/>
      <c r="AC6" s="131"/>
      <c r="AD6" s="143"/>
      <c r="AE6" s="183"/>
      <c r="AF6" s="338"/>
      <c r="AG6" s="140"/>
      <c r="AH6" s="190"/>
      <c r="AI6" s="190"/>
      <c r="AJ6" s="97" t="s">
        <v>41</v>
      </c>
      <c r="AK6" s="334" t="str">
        <f>IF(AV14="","",(AV14+AV19+AV23+AV27+AV31+AV35+AV39+AV43+AV47+AV51+AV55+AV59))</f>
        <v/>
      </c>
      <c r="AL6" s="97" t="s">
        <v>38</v>
      </c>
      <c r="AM6" s="336" t="str">
        <f>IF(PERSONAL=0,"",PERSONAL)</f>
        <v/>
      </c>
      <c r="AN6" s="193" t="s">
        <v>50</v>
      </c>
      <c r="AO6" s="190"/>
      <c r="AP6" s="192" t="str">
        <f>"("&amp;BM10&amp;")"</f>
        <v>()</v>
      </c>
      <c r="AQ6" s="47"/>
      <c r="AR6" s="68"/>
      <c r="AV6"/>
      <c r="AW6"/>
      <c r="AX6"/>
      <c r="AY6" s="37"/>
      <c r="AZ6" s="37"/>
      <c r="BA6" s="37"/>
      <c r="BB6" s="37"/>
      <c r="BC6" s="67"/>
      <c r="BD6" s="67"/>
      <c r="BE6" s="4"/>
      <c r="BF6" s="4"/>
    </row>
    <row r="7" spans="1:65" ht="18" customHeight="1" thickBot="1" x14ac:dyDescent="0.3">
      <c r="A7" s="14"/>
      <c r="B7" s="14"/>
      <c r="C7" s="14"/>
      <c r="D7" s="44"/>
      <c r="E7" s="162"/>
      <c r="F7" s="65"/>
      <c r="G7" s="65"/>
      <c r="H7" s="66"/>
      <c r="I7" s="66"/>
      <c r="J7" s="66"/>
      <c r="K7" s="66"/>
      <c r="L7" s="66"/>
      <c r="M7" s="66"/>
      <c r="N7"/>
      <c r="O7"/>
      <c r="P7" s="361"/>
      <c r="Q7" s="144"/>
      <c r="R7" s="145"/>
      <c r="S7" s="145"/>
      <c r="T7" s="98" t="s">
        <v>27</v>
      </c>
      <c r="U7" s="146"/>
      <c r="V7" s="147"/>
      <c r="W7" s="329"/>
      <c r="X7" s="159"/>
      <c r="Y7" s="332"/>
      <c r="Z7" s="296"/>
      <c r="AA7" s="172"/>
      <c r="AB7" s="148"/>
      <c r="AC7" s="148"/>
      <c r="AD7" s="149"/>
      <c r="AE7" s="183"/>
      <c r="AF7" s="338"/>
      <c r="AG7" s="176"/>
      <c r="AH7" s="194"/>
      <c r="AI7" s="194"/>
      <c r="AJ7" s="177" t="s">
        <v>42</v>
      </c>
      <c r="AK7" s="195">
        <f>MAX(ForfeitedAL)</f>
        <v>0</v>
      </c>
      <c r="AL7" s="345"/>
      <c r="AM7" s="346"/>
      <c r="AN7" s="346"/>
      <c r="AO7" s="346"/>
      <c r="AP7" s="347"/>
      <c r="AQ7" s="47"/>
      <c r="AR7" s="68"/>
      <c r="AS7" s="36"/>
      <c r="AT7" s="36"/>
      <c r="AU7" s="36"/>
      <c r="AV7"/>
      <c r="AW7"/>
      <c r="AX7"/>
      <c r="AY7" s="37"/>
      <c r="AZ7" s="37"/>
      <c r="BA7" s="37"/>
      <c r="BB7" s="37"/>
      <c r="BC7" s="67"/>
      <c r="BD7" s="67"/>
      <c r="BE7" s="4"/>
      <c r="BF7" s="4"/>
    </row>
    <row r="8" spans="1:65" ht="18" customHeight="1" thickBot="1" x14ac:dyDescent="0.3">
      <c r="A8" s="14"/>
      <c r="B8" s="14"/>
      <c r="C8" s="14"/>
      <c r="D8" s="44"/>
      <c r="E8" s="162"/>
      <c r="F8" s="126"/>
      <c r="G8" s="126"/>
      <c r="H8" s="182"/>
      <c r="I8" s="66"/>
      <c r="J8" s="66"/>
      <c r="K8" s="66"/>
      <c r="L8" s="66"/>
      <c r="M8" s="66"/>
      <c r="N8"/>
      <c r="O8"/>
      <c r="P8" s="155"/>
      <c r="Q8" s="70"/>
      <c r="R8" s="151"/>
      <c r="S8" s="151"/>
      <c r="T8" s="71"/>
      <c r="U8" s="47"/>
      <c r="V8" s="153"/>
      <c r="W8" s="152"/>
      <c r="X8" s="154"/>
      <c r="Y8" s="154"/>
      <c r="Z8" s="297"/>
      <c r="AA8" s="154"/>
      <c r="AB8" s="154"/>
      <c r="AC8" s="154"/>
      <c r="AD8" s="154"/>
      <c r="AE8" s="36"/>
      <c r="AF8" s="339"/>
      <c r="AG8" s="144"/>
      <c r="AH8" s="196"/>
      <c r="AI8" s="196"/>
      <c r="AJ8" s="98" t="s">
        <v>43</v>
      </c>
      <c r="AK8" s="197">
        <f>MAX(ForfeitedSL)</f>
        <v>0</v>
      </c>
      <c r="AL8" s="203"/>
      <c r="AM8" s="201"/>
      <c r="AN8" s="202"/>
      <c r="AO8" s="202"/>
      <c r="AP8" s="326" t="str">
        <f>"Holiday Leave Not Yet Taken: "&amp;TEXT(IF(ISERROR(AY15+AY19+AY23+AY27+AY31+AY35+AY39+AY43+AY47+AY51+AY55+AY59)=TRUE,"",AY15+AY19+AY23+AY27+AY31+AY35+AY39+AY43+AY47+AY51+AY55+AY59),"##.00")</f>
        <v xml:space="preserve">Holiday Leave Not Yet Taken: </v>
      </c>
      <c r="AQ8" s="47"/>
      <c r="AR8" s="68"/>
      <c r="AS8" s="36"/>
      <c r="AT8" s="36"/>
      <c r="AU8" s="36"/>
      <c r="AV8" s="37"/>
      <c r="AW8" s="37"/>
      <c r="AX8" s="37"/>
      <c r="AY8" s="37"/>
      <c r="AZ8" s="37"/>
      <c r="BA8" s="37"/>
      <c r="BB8" s="37"/>
      <c r="BC8" s="67"/>
      <c r="BD8" s="67"/>
      <c r="BE8" s="4"/>
      <c r="BF8" s="4"/>
    </row>
    <row r="9" spans="1:65" ht="18" customHeight="1" x14ac:dyDescent="0.25">
      <c r="A9" s="14"/>
      <c r="B9" s="14"/>
      <c r="C9" s="14"/>
      <c r="D9" s="44"/>
      <c r="E9" s="162"/>
      <c r="F9" s="65"/>
      <c r="G9" s="65"/>
      <c r="H9" s="66"/>
      <c r="I9" s="66"/>
      <c r="J9" s="66"/>
      <c r="K9" s="66"/>
      <c r="L9" s="66"/>
      <c r="M9" s="66"/>
      <c r="N9"/>
      <c r="O9"/>
      <c r="P9" s="150"/>
      <c r="Q9" s="70"/>
      <c r="R9" s="151"/>
      <c r="S9" s="151"/>
      <c r="T9" s="152"/>
      <c r="U9" s="47"/>
      <c r="V9" s="153"/>
      <c r="Z9" s="297"/>
      <c r="AA9" s="154"/>
      <c r="AB9" s="154"/>
      <c r="AC9" s="154"/>
      <c r="AD9" s="154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47"/>
      <c r="BC9" s="67"/>
      <c r="BD9" s="67"/>
      <c r="BE9" s="4"/>
      <c r="BF9" s="4"/>
      <c r="BG9" s="4"/>
    </row>
    <row r="10" spans="1:65" ht="14.25" x14ac:dyDescent="0.25">
      <c r="A10" s="308">
        <f>YEAR(A11)</f>
        <v>2018</v>
      </c>
      <c r="B10" s="14"/>
      <c r="C10" s="14"/>
      <c r="D10" s="44"/>
      <c r="E10" s="162"/>
      <c r="F10" s="65"/>
      <c r="G10" s="65"/>
      <c r="H10" s="66"/>
      <c r="I10" s="66"/>
      <c r="J10" s="66"/>
      <c r="K10" s="66"/>
      <c r="L10" s="66"/>
      <c r="M10" s="66"/>
      <c r="N10" s="69"/>
      <c r="O10" s="70"/>
      <c r="P10" s="70"/>
      <c r="Q10" s="70"/>
      <c r="R10" s="71"/>
      <c r="S10" s="72"/>
      <c r="T10" s="72"/>
      <c r="U10" s="47"/>
      <c r="W10" s="353" t="s">
        <v>18</v>
      </c>
      <c r="X10" s="353"/>
      <c r="Y10" s="353"/>
      <c r="Z10" s="29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47"/>
      <c r="AS10" s="344" t="s">
        <v>15</v>
      </c>
      <c r="AT10" s="344"/>
      <c r="AU10" s="344"/>
      <c r="AV10" s="344" t="s">
        <v>16</v>
      </c>
      <c r="AW10" s="344"/>
      <c r="AX10" s="344"/>
      <c r="AY10" s="344"/>
      <c r="AZ10" s="344"/>
      <c r="BA10" s="344" t="s">
        <v>37</v>
      </c>
      <c r="BB10" s="344"/>
      <c r="BC10" s="67"/>
      <c r="BD10" s="67"/>
      <c r="BE10" s="4"/>
      <c r="BF10" s="4"/>
      <c r="BG10" s="4"/>
      <c r="BK10" s="179" t="str">
        <f>IF(BK56&lt;&gt;"",BK56,IF(BK52&lt;&gt;"",BK52,IF(BK48&lt;&gt;"",BK48,IF(BK44&lt;&gt;"",BK44,IF(BK40&lt;&gt;"",BK40,IF(BK36&lt;&gt;"",BK36,IF(BK32&lt;&gt;"",BK32,IF(BK28&lt;&gt;"",BK28,IF(BK24&lt;&gt;"",BK24,IF(BK20&lt;&gt;"",BK20,IF(BK16&lt;&gt;"",BK16,BK12)))))))))))</f>
        <v/>
      </c>
      <c r="BL10" s="179" t="str">
        <f>IF(BL56&lt;&gt;"",BL56,IF(BL52&lt;&gt;"",BL52,IF(BL48&lt;&gt;"",BL48,IF(BL44&lt;&gt;"",BL44,IF(BL40&lt;&gt;"",BL40,IF(BL36&lt;&gt;"",BL36,IF(BL32&lt;&gt;"",BL32,IF(BL28&lt;&gt;"",BL28,IF(BL24&lt;&gt;"",BL24,IF(BL20&lt;&gt;"",BL20,IF(BL16&lt;&gt;"",BL16,BL12)))))))))))</f>
        <v/>
      </c>
      <c r="BM10" s="179" t="str">
        <f>IF(BM56&lt;&gt;"",BM56,IF(BM52&lt;&gt;"",BM52,IF(BM48&lt;&gt;"",BM48,IF(BM44&lt;&gt;"",BM44,IF(BM40&lt;&gt;"",BM40,IF(BM36&lt;&gt;"",BM36,IF(BM32&lt;&gt;"",BM32,IF(BM28&lt;&gt;"",BM28,IF(BM24&lt;&gt;"",BM24,IF(BM20&lt;&gt;"",BM20,IF(BM16&lt;&gt;"",BM16,BM12)))))))))))</f>
        <v/>
      </c>
    </row>
    <row r="11" spans="1:65" s="1" customFormat="1" ht="106.5" thickBot="1" x14ac:dyDescent="0.25">
      <c r="A11" s="58">
        <v>43101</v>
      </c>
      <c r="B11" s="49"/>
      <c r="C11" s="49"/>
      <c r="D11" s="267" t="s">
        <v>14</v>
      </c>
      <c r="E11" s="165" t="s">
        <v>33</v>
      </c>
      <c r="F11" s="52">
        <v>1</v>
      </c>
      <c r="G11" s="52">
        <v>2</v>
      </c>
      <c r="H11" s="52">
        <v>3</v>
      </c>
      <c r="I11" s="52">
        <v>4</v>
      </c>
      <c r="J11" s="52">
        <v>5</v>
      </c>
      <c r="K11" s="52">
        <v>6</v>
      </c>
      <c r="L11" s="52">
        <v>7</v>
      </c>
      <c r="M11" s="52">
        <v>8</v>
      </c>
      <c r="N11" s="52">
        <v>9</v>
      </c>
      <c r="O11" s="52">
        <v>10</v>
      </c>
      <c r="P11" s="52">
        <v>11</v>
      </c>
      <c r="Q11" s="52">
        <v>12</v>
      </c>
      <c r="R11" s="52">
        <v>13</v>
      </c>
      <c r="S11" s="52">
        <v>14</v>
      </c>
      <c r="T11" s="52">
        <v>15</v>
      </c>
      <c r="U11" s="52"/>
      <c r="V11"/>
      <c r="W11" s="268" t="s">
        <v>1</v>
      </c>
      <c r="X11" s="269" t="s">
        <v>2</v>
      </c>
      <c r="Y11" s="270" t="s">
        <v>0</v>
      </c>
      <c r="Z11" s="299"/>
      <c r="AA11" s="271">
        <v>16</v>
      </c>
      <c r="AB11" s="271">
        <v>17</v>
      </c>
      <c r="AC11" s="271">
        <v>18</v>
      </c>
      <c r="AD11" s="271">
        <v>19</v>
      </c>
      <c r="AE11" s="52">
        <v>20</v>
      </c>
      <c r="AF11" s="52">
        <v>21</v>
      </c>
      <c r="AG11" s="52">
        <v>22</v>
      </c>
      <c r="AH11" s="52">
        <v>23</v>
      </c>
      <c r="AI11" s="52">
        <v>24</v>
      </c>
      <c r="AJ11" s="52">
        <v>25</v>
      </c>
      <c r="AK11" s="52">
        <v>26</v>
      </c>
      <c r="AL11" s="52">
        <v>27</v>
      </c>
      <c r="AM11" s="52">
        <v>28</v>
      </c>
      <c r="AN11" s="52">
        <v>29</v>
      </c>
      <c r="AO11" s="52">
        <v>30</v>
      </c>
      <c r="AP11" s="272">
        <v>31</v>
      </c>
      <c r="AQ11" s="52"/>
      <c r="AR11"/>
      <c r="AS11" s="273" t="s">
        <v>1</v>
      </c>
      <c r="AT11" s="274" t="s">
        <v>2</v>
      </c>
      <c r="AU11" s="274" t="s">
        <v>0</v>
      </c>
      <c r="AV11" s="275" t="s">
        <v>1</v>
      </c>
      <c r="AW11" s="274" t="s">
        <v>2</v>
      </c>
      <c r="AX11" s="276" t="s">
        <v>0</v>
      </c>
      <c r="AY11" s="275" t="s">
        <v>24</v>
      </c>
      <c r="AZ11" s="274" t="s">
        <v>31</v>
      </c>
      <c r="BA11" s="275" t="s">
        <v>23</v>
      </c>
      <c r="BB11" s="274" t="s">
        <v>32</v>
      </c>
      <c r="BC11" s="319" t="s">
        <v>17</v>
      </c>
      <c r="BD11" s="38" t="s">
        <v>14</v>
      </c>
      <c r="BE11" s="52" t="s">
        <v>22</v>
      </c>
      <c r="BF11" s="52"/>
      <c r="BI11" s="174" t="s">
        <v>44</v>
      </c>
      <c r="BJ11" s="174" t="s">
        <v>45</v>
      </c>
      <c r="BK11" s="174" t="s">
        <v>46</v>
      </c>
      <c r="BL11" s="174" t="s">
        <v>48</v>
      </c>
      <c r="BM11" s="174" t="s">
        <v>49</v>
      </c>
    </row>
    <row r="12" spans="1:65" ht="18.75" customHeight="1" thickBot="1" x14ac:dyDescent="0.25">
      <c r="A12" s="355">
        <f>B12</f>
        <v>43101</v>
      </c>
      <c r="B12" s="277">
        <f>EDATE($A$11,0)</f>
        <v>43101</v>
      </c>
      <c r="C12" s="278" t="str">
        <f>IF(ISBLANK(StartDate)=TRUE,"",IF(StartDate&gt;B12,NA,IF(StartDate=B12,0,5)))</f>
        <v/>
      </c>
      <c r="D12" s="279" t="s">
        <v>12</v>
      </c>
      <c r="E12" s="207" t="str">
        <f>IF(ISBLANK(StartDate)=TRUE,"",IF(C12=NA,"",SICK-PERSONAL))</f>
        <v/>
      </c>
      <c r="F12" s="281"/>
      <c r="G12" s="282"/>
      <c r="H12" s="282"/>
      <c r="I12" s="282"/>
      <c r="J12" s="282"/>
      <c r="K12" s="283"/>
      <c r="L12" s="283"/>
      <c r="M12" s="282"/>
      <c r="N12" s="282"/>
      <c r="O12" s="282"/>
      <c r="P12" s="282"/>
      <c r="Q12" s="282"/>
      <c r="R12" s="283"/>
      <c r="S12" s="280"/>
      <c r="T12" s="281"/>
      <c r="U12" s="284">
        <f>B12+14</f>
        <v>43115</v>
      </c>
      <c r="V12" s="285" t="str">
        <f>IF(ISBLANK(StartDate)=TRUE,"",IF(StartDate&gt;U12,NA,IF(StartDate=U12,0,5)))</f>
        <v/>
      </c>
      <c r="W12" s="90" t="str">
        <f t="shared" ref="W12:W59" si="0">IF(ISBLANK(StartDate)=TRUE,"",IF(V12=NA,"",IF(C12=NA,0,SUM(F12:T12))))</f>
        <v/>
      </c>
      <c r="X12" s="75" t="str">
        <f>IF(ISBLANK(StartDate)=TRUE,"",IF(V12=NA,NA,IF(C12=NA,0,V12)))</f>
        <v/>
      </c>
      <c r="Y12" s="91" t="str">
        <f>IF(ISBLANK(StartDate)=TRUE,"",IF(V12=NA,"",IF(C12=NA,0,E12-W12+X12)))</f>
        <v/>
      </c>
      <c r="Z12" s="300">
        <f>A12+15</f>
        <v>43116</v>
      </c>
      <c r="AA12" s="282"/>
      <c r="AB12" s="282"/>
      <c r="AC12" s="282"/>
      <c r="AD12" s="282"/>
      <c r="AE12" s="283"/>
      <c r="AF12" s="283"/>
      <c r="AG12" s="282"/>
      <c r="AH12" s="282"/>
      <c r="AI12" s="282"/>
      <c r="AJ12" s="282"/>
      <c r="AK12" s="282"/>
      <c r="AL12" s="283"/>
      <c r="AM12" s="283"/>
      <c r="AN12" s="282"/>
      <c r="AO12" s="286"/>
      <c r="AP12" s="287"/>
      <c r="AQ12" s="288">
        <f>B16-1</f>
        <v>43131</v>
      </c>
      <c r="AR12" s="285" t="str">
        <f>IF(ISBLANK(StartDate)=TRUE,"",IF(StartDate&gt;AQ12,NA,IF(StartDate=AQ12,0,5)))</f>
        <v/>
      </c>
      <c r="AS12" s="93" t="str">
        <f t="shared" ref="AS12:AS57" si="1">IF(ISBLANK(StartDate)=TRUE,"",IF(AR12=NA,"",IF(Y12=NA,0,SUM(AA12:AP12))))</f>
        <v/>
      </c>
      <c r="AT12" s="75" t="str">
        <f>IF(ISBLANK(StartDate)=TRUE,"",IF(AR12=NA,NA,IF(V12=NA,0,AR12)))</f>
        <v/>
      </c>
      <c r="AU12" s="310" t="str">
        <f>IF(ISBLANK(StartDate)=TRUE,"",IF(AR12=NA,"",IF(Y12=NA,0,Y12-AS12+AT12)))</f>
        <v/>
      </c>
      <c r="AV12" s="313" t="str">
        <f t="shared" ref="AV12:AV59" si="2">IF(ISERROR(AS12+W12)=TRUE,IF(AR12=NA,"",AS12),AS12+W12)</f>
        <v/>
      </c>
      <c r="AW12" s="75" t="str">
        <f>IF(ISBLANK(StartDate)=TRUE,"",IF(AT12=NA,NA,IF(X12=NA,AT12,AT12+X12)))</f>
        <v/>
      </c>
      <c r="AX12" s="94" t="str">
        <f t="shared" ref="AX12:AX57" si="3">AU12</f>
        <v/>
      </c>
      <c r="AY12" s="93" t="str">
        <f>IF(AX12="","",IF(AX12&gt;720,AX12-720,0))</f>
        <v/>
      </c>
      <c r="AZ12" s="82"/>
      <c r="BA12" s="324" t="str">
        <f>IF(AX12="","",ForSL+AY12)</f>
        <v/>
      </c>
      <c r="BB12" s="161" t="str">
        <f>IF(AZ12="","",DonSL+AZ12)</f>
        <v/>
      </c>
      <c r="BC12" s="320" t="str">
        <f>IF(ISBLANK(StartDate)=TRUE,"",AX12-AY12)</f>
        <v/>
      </c>
      <c r="BD12" s="96" t="s">
        <v>12</v>
      </c>
      <c r="BE12" s="340"/>
      <c r="BF12" s="341"/>
      <c r="BI12" s="175" t="str">
        <f>BA12</f>
        <v/>
      </c>
      <c r="BJ12" s="175" t="str">
        <f>BA13</f>
        <v/>
      </c>
      <c r="BK12" s="2" t="str">
        <f>IF(BI12="","",BC12)</f>
        <v/>
      </c>
      <c r="BL12" s="2" t="str">
        <f>IF(BJ12="","",BC13)</f>
        <v/>
      </c>
      <c r="BM12" s="2" t="str">
        <f>IF(BI12="","",BC14)</f>
        <v/>
      </c>
    </row>
    <row r="13" spans="1:65" s="4" customFormat="1" ht="18.75" customHeight="1" thickBot="1" x14ac:dyDescent="0.25">
      <c r="A13" s="355"/>
      <c r="B13" s="51">
        <f>EDATE($A$11,0)</f>
        <v>43101</v>
      </c>
      <c r="C13" s="50" t="str">
        <f>IF(ISBLANK(StartDate)=TRUE,"",IF(StartDate&gt;B13,NA,IF(B13&lt;FiveYr,5,IF(B13&lt;TenYr,6,7))))</f>
        <v/>
      </c>
      <c r="D13" s="74" t="s">
        <v>13</v>
      </c>
      <c r="E13" s="166" t="str">
        <f>IF(ISBLANK(StartDate)=TRUE,"",IF(C13=NA,"",Annual))</f>
        <v/>
      </c>
      <c r="F13" s="263"/>
      <c r="G13" s="116"/>
      <c r="H13" s="116"/>
      <c r="I13" s="116"/>
      <c r="J13" s="116"/>
      <c r="K13" s="115"/>
      <c r="L13" s="115"/>
      <c r="M13" s="116"/>
      <c r="N13" s="116"/>
      <c r="O13" s="116"/>
      <c r="P13" s="116"/>
      <c r="Q13" s="116"/>
      <c r="R13" s="115"/>
      <c r="S13" s="164"/>
      <c r="T13" s="263"/>
      <c r="U13" s="210">
        <f t="shared" ref="U13:U59" si="4">B13+14</f>
        <v>43115</v>
      </c>
      <c r="V13" s="121" t="str">
        <f>IF(ISBLANK(StartDate)=TRUE,"",IF(StartDate&gt;U13,NA,IF(U13&lt;FiveYr,5,IF(U13&lt;TenYr,6,7))))</f>
        <v/>
      </c>
      <c r="W13" s="76" t="str">
        <f t="shared" si="0"/>
        <v/>
      </c>
      <c r="X13" s="77" t="str">
        <f>IF(ISBLANK(StartDate)=TRUE,"",IF(V13=NA,NA,IF(C13=NA,0,V13)))</f>
        <v/>
      </c>
      <c r="Y13" s="78" t="str">
        <f>IF(ISBLANK(StartDate)=TRUE,"",IF(V13=NA,"",IF(C13=NA,0,E13-W13+X13)))</f>
        <v/>
      </c>
      <c r="Z13" s="301"/>
      <c r="AA13" s="116"/>
      <c r="AB13" s="116"/>
      <c r="AC13" s="116"/>
      <c r="AD13" s="116"/>
      <c r="AE13" s="115"/>
      <c r="AF13" s="115"/>
      <c r="AG13" s="116"/>
      <c r="AH13" s="116"/>
      <c r="AI13" s="116"/>
      <c r="AJ13" s="116"/>
      <c r="AK13" s="116"/>
      <c r="AL13" s="115"/>
      <c r="AM13" s="115"/>
      <c r="AN13" s="116"/>
      <c r="AO13" s="119"/>
      <c r="AP13" s="118"/>
      <c r="AQ13" s="237">
        <f t="shared" ref="AQ13:AQ59" si="5">B17-1</f>
        <v>43131</v>
      </c>
      <c r="AR13" s="121" t="str">
        <f>IF(ISBLANK(StartDate)=TRUE,"",IF(StartDate&gt;AQ13,NA,IF(AQ13&lt;FiveYr,5,IF(AQ13&lt;TenYr,6,7))))</f>
        <v/>
      </c>
      <c r="AS13" s="83" t="str">
        <f t="shared" si="1"/>
        <v/>
      </c>
      <c r="AT13" s="77" t="str">
        <f>IF(ISBLANK(StartDate)=TRUE,"",IF(AR13=NA,NA,IF(V13=NA,0,AR13)))</f>
        <v/>
      </c>
      <c r="AU13" s="198" t="str">
        <f>IF(ISBLANK(StartDate)=TRUE,"",IF(AR13=NA,"",IF(Y13=NA,0,Y13-AS13+AT13)))</f>
        <v/>
      </c>
      <c r="AV13" s="314" t="str">
        <f t="shared" si="2"/>
        <v/>
      </c>
      <c r="AW13" s="77" t="str">
        <f>IF(ISBLANK(StartDate)=TRUE,"",IF(AT13=NA,NA,IF(X13=NA,AT13,AT13+X13)))</f>
        <v/>
      </c>
      <c r="AX13" s="84" t="str">
        <f t="shared" si="3"/>
        <v/>
      </c>
      <c r="AY13" s="83" t="str">
        <f>IF(AX13="","",IF(AX13&gt;360,AX13-360,0))</f>
        <v/>
      </c>
      <c r="AZ13" s="86"/>
      <c r="BA13" s="325" t="str">
        <f>IF(AX13="","",ForAL+AY13)</f>
        <v/>
      </c>
      <c r="BB13" s="198" t="str">
        <f>IF(AZ13="","",DonAL+AY13)</f>
        <v/>
      </c>
      <c r="BC13" s="321" t="str">
        <f>IF(ISBLANK(StartDate)=TRUE,"",AX13-AY13)</f>
        <v/>
      </c>
      <c r="BD13" s="87" t="s">
        <v>13</v>
      </c>
      <c r="BE13" s="342"/>
      <c r="BF13" s="343"/>
      <c r="BK13" s="2"/>
      <c r="BL13" s="2"/>
      <c r="BM13" s="2"/>
    </row>
    <row r="14" spans="1:65" s="4" customFormat="1" ht="18.75" customHeight="1" thickBot="1" x14ac:dyDescent="0.25">
      <c r="A14" s="355"/>
      <c r="B14" s="51">
        <f>EDATE($A$11,0)</f>
        <v>43101</v>
      </c>
      <c r="C14" s="50" t="str">
        <f>IF(ISBLANK(StartDate)=TRUE,"",IF(StartDate&gt;B14,NA,IF(StartDate=B14,0,0)))</f>
        <v/>
      </c>
      <c r="D14" s="199" t="s">
        <v>21</v>
      </c>
      <c r="E14" s="205" t="str">
        <f>IF(ISBLANK(StartDate)=TRUE,"",IF(C14=NA,"",PERSONAL))</f>
        <v/>
      </c>
      <c r="F14" s="264"/>
      <c r="G14" s="213"/>
      <c r="H14" s="213"/>
      <c r="I14" s="213"/>
      <c r="J14" s="213"/>
      <c r="K14" s="214"/>
      <c r="L14" s="214"/>
      <c r="M14" s="213"/>
      <c r="N14" s="213"/>
      <c r="O14" s="213"/>
      <c r="P14" s="213"/>
      <c r="Q14" s="213"/>
      <c r="R14" s="214"/>
      <c r="S14" s="212"/>
      <c r="T14" s="264"/>
      <c r="U14" s="216">
        <f>B14+14</f>
        <v>43115</v>
      </c>
      <c r="V14" s="217" t="str">
        <f>IF(ISBLANK(StartDate)=TRUE,"",IF(StartDate&gt;U14,NA,IF(StartDate=U14,0,0)))</f>
        <v/>
      </c>
      <c r="W14" s="79" t="str">
        <f>IF(ISBLANK(StartDate)=TRUE,"",IF(V14=NA,"",IF(C14=NA,0,SUM(F14:T14))))</f>
        <v/>
      </c>
      <c r="X14" s="80" t="str">
        <f>IF(ISBLANK(StartDate)=TRUE,"",NA)</f>
        <v/>
      </c>
      <c r="Y14" s="81" t="str">
        <f>IF(ISBLANK(StartDate)=TRUE,"",IF(V14=NA,"",IF(C14=NA,0,E14-W14)))</f>
        <v/>
      </c>
      <c r="Z14" s="302"/>
      <c r="AA14" s="218"/>
      <c r="AB14" s="218"/>
      <c r="AC14" s="213"/>
      <c r="AD14" s="213"/>
      <c r="AE14" s="214"/>
      <c r="AF14" s="214"/>
      <c r="AG14" s="218"/>
      <c r="AH14" s="218"/>
      <c r="AI14" s="218"/>
      <c r="AJ14" s="213"/>
      <c r="AK14" s="213"/>
      <c r="AL14" s="214"/>
      <c r="AM14" s="214"/>
      <c r="AN14" s="218"/>
      <c r="AO14" s="219"/>
      <c r="AP14" s="220"/>
      <c r="AQ14" s="237">
        <f t="shared" si="5"/>
        <v>43131</v>
      </c>
      <c r="AR14" s="217" t="str">
        <f>IF(ISBLANK(StartDate)=TRUE,"",IF(StartDate&gt;AQ14,NA,IF(StartDate=AQ14,0,0)))</f>
        <v/>
      </c>
      <c r="AS14" s="88" t="str">
        <f>IF(ISBLANK(StartDate)=TRUE,"",IF(AR14=NA,"",IF(Y14=NA,0,SUM(AA14:AP14))))</f>
        <v/>
      </c>
      <c r="AT14" s="80" t="str">
        <f>IF(ISBLANK(StartDate)=TRUE,"",NA)</f>
        <v/>
      </c>
      <c r="AU14" s="311" t="str">
        <f>IF(ISBLANK(StartDate)=TRUE,"",IF(AR14=NA,"",IF(Y14=NA,0,Y14-AS14)))</f>
        <v/>
      </c>
      <c r="AV14" s="315" t="str">
        <f>IF(ISERROR(AS14+W14)=TRUE,IF(AR14=NA,"",AS14),AS14+W14)</f>
        <v/>
      </c>
      <c r="AW14" s="80" t="str">
        <f>IF(ISBLANK(StartDate)=TRUE,"",NA)</f>
        <v/>
      </c>
      <c r="AX14" s="89" t="str">
        <f>AU14</f>
        <v/>
      </c>
      <c r="AY14" s="221"/>
      <c r="AZ14" s="222"/>
      <c r="BA14" s="223"/>
      <c r="BB14" s="317"/>
      <c r="BC14" s="322" t="str">
        <f>IF(ISBLANK(StartDate)=TRUE,"",AX14)</f>
        <v/>
      </c>
      <c r="BD14" s="92" t="s">
        <v>21</v>
      </c>
      <c r="BE14" s="180"/>
      <c r="BF14" s="181"/>
      <c r="BK14" s="2"/>
      <c r="BL14" s="2"/>
      <c r="BM14" s="2"/>
    </row>
    <row r="15" spans="1:65" s="4" customFormat="1" ht="18.75" customHeight="1" thickBot="1" x14ac:dyDescent="0.25">
      <c r="A15" s="355"/>
      <c r="B15" s="51">
        <f>EDATE($A$11,0)</f>
        <v>43101</v>
      </c>
      <c r="C15" s="14">
        <v>0</v>
      </c>
      <c r="D15" s="200" t="s">
        <v>51</v>
      </c>
      <c r="E15" s="206" t="s">
        <v>53</v>
      </c>
      <c r="F15" s="265"/>
      <c r="G15" s="233"/>
      <c r="H15" s="233"/>
      <c r="I15" s="234"/>
      <c r="J15" s="233"/>
      <c r="K15" s="235"/>
      <c r="L15" s="235"/>
      <c r="M15" s="233"/>
      <c r="N15" s="233"/>
      <c r="O15" s="233"/>
      <c r="P15" s="233"/>
      <c r="Q15" s="233"/>
      <c r="R15" s="235"/>
      <c r="S15" s="232"/>
      <c r="T15" s="265"/>
      <c r="U15" s="237">
        <f t="shared" si="4"/>
        <v>43115</v>
      </c>
      <c r="V15" s="238" t="str">
        <f>IF(ISBLANK(StartDate)=TRUE,"",IF(StartDate&gt;U15,NA,IF(StartDate=U15,0,8)))</f>
        <v/>
      </c>
      <c r="W15" s="239" t="str">
        <f>IF(ISBLANK(StartDate)=TRUE,"",IF(V15=NA,"",IF(C16=NA,0,SUM(F15:T15))))</f>
        <v/>
      </c>
      <c r="X15" s="240" t="str">
        <f>V15</f>
        <v/>
      </c>
      <c r="Y15" s="241" t="str">
        <f ca="1">IF(ISBLANK(StartDate)=TRUE,"",IF(V15=NA,"",IF(StartDate&gt;TODAY(),"",X15-W15)))</f>
        <v/>
      </c>
      <c r="Z15" s="303"/>
      <c r="AA15" s="234"/>
      <c r="AB15" s="234"/>
      <c r="AC15" s="234"/>
      <c r="AD15" s="233"/>
      <c r="AE15" s="235"/>
      <c r="AF15" s="235"/>
      <c r="AG15" s="234"/>
      <c r="AH15" s="233"/>
      <c r="AI15" s="233"/>
      <c r="AJ15" s="234"/>
      <c r="AK15" s="233"/>
      <c r="AL15" s="235"/>
      <c r="AM15" s="235"/>
      <c r="AN15" s="234"/>
      <c r="AO15" s="242"/>
      <c r="AP15" s="243"/>
      <c r="AQ15" s="237">
        <f t="shared" si="5"/>
        <v>43131</v>
      </c>
      <c r="AR15" s="289" t="str">
        <f>IF(ISBLANK(StartDate)=TRUE,"",IF(StartDate&gt;AQ15,NA,IF(StartDate=AQ15,0,8)))</f>
        <v/>
      </c>
      <c r="AS15" s="244" t="str">
        <f>IF(ISBLANK(StartDate)=TRUE,"",IF(AR15=NA,"",IF(Y15=NA,0,SUM(AA15:AP15))))</f>
        <v/>
      </c>
      <c r="AT15" s="240" t="str">
        <f>AR15</f>
        <v/>
      </c>
      <c r="AU15" s="312" t="str">
        <f ca="1">IF(ISBLANK(StartDate)=TRUE,"",IF(AR15=NA,"",IF(StartDate&gt;TODAY(),"",AT15-AS15)))</f>
        <v/>
      </c>
      <c r="AV15" s="316" t="str">
        <f>IF(ISERROR(AS15+W15)=TRUE,IF(AR15=NA,"",AS15),AS15+W15)</f>
        <v/>
      </c>
      <c r="AW15" s="240" t="str">
        <f>IF(ISBLANK(StartDate)=TRUE,"",X15+AT15)</f>
        <v/>
      </c>
      <c r="AX15" s="309" t="s">
        <v>52</v>
      </c>
      <c r="AY15" s="261" t="str">
        <f>AW15</f>
        <v/>
      </c>
      <c r="AZ15" s="246"/>
      <c r="BA15" s="247"/>
      <c r="BB15" s="246"/>
      <c r="BC15" s="323"/>
      <c r="BD15" s="204" t="s">
        <v>51</v>
      </c>
      <c r="BE15" s="342"/>
      <c r="BF15" s="343"/>
      <c r="BK15" s="2"/>
      <c r="BL15" s="2"/>
      <c r="BM15" s="2"/>
    </row>
    <row r="16" spans="1:65" ht="18.75" customHeight="1" thickTop="1" thickBot="1" x14ac:dyDescent="0.25">
      <c r="A16" s="355">
        <f>B16</f>
        <v>43132</v>
      </c>
      <c r="B16" s="51">
        <f>EDATE($A$11,1)</f>
        <v>43132</v>
      </c>
      <c r="C16" s="50" t="str">
        <f>IF(ISBLANK(StartDate)=TRUE,"",IF(StartDate&gt;B16,NA,IF(StartDate=B16,0,5)))</f>
        <v/>
      </c>
      <c r="D16" s="73" t="s">
        <v>12</v>
      </c>
      <c r="E16" s="207" t="str">
        <f>IF(ISBLANK(StartDate)=TRUE,"",IF(C16=NA,"",IF(AR12=NA,0,BC12)))</f>
        <v/>
      </c>
      <c r="F16" s="106"/>
      <c r="G16" s="100"/>
      <c r="H16" s="283"/>
      <c r="I16" s="99"/>
      <c r="J16" s="282"/>
      <c r="K16" s="100"/>
      <c r="L16" s="100"/>
      <c r="M16" s="100"/>
      <c r="N16" s="100"/>
      <c r="O16" s="283"/>
      <c r="P16" s="99"/>
      <c r="Q16" s="282"/>
      <c r="R16" s="107"/>
      <c r="S16" s="107"/>
      <c r="T16" s="108"/>
      <c r="U16" s="208">
        <f t="shared" si="4"/>
        <v>43146</v>
      </c>
      <c r="V16" s="209" t="str">
        <f>IF(ISBLANK(StartDate)=TRUE,"",IF(StartDate&gt;U16,NA,IF(StartDate=U16,0,5)))</f>
        <v/>
      </c>
      <c r="W16" s="90" t="str">
        <f t="shared" si="0"/>
        <v/>
      </c>
      <c r="X16" s="75" t="str">
        <f>IF(V16=NA,NA,IF(C16=NA,0,V16))</f>
        <v/>
      </c>
      <c r="Y16" s="91" t="str">
        <f>IF(ISBLANK(StartDate)=TRUE,"",IF(V16=NA,"",IF(C16=NA,0,E16-W16+X16)))</f>
        <v/>
      </c>
      <c r="Z16" s="304">
        <f>A16+15</f>
        <v>43147</v>
      </c>
      <c r="AA16" s="106"/>
      <c r="AB16" s="283"/>
      <c r="AC16" s="99"/>
      <c r="AD16" s="282"/>
      <c r="AE16" s="100"/>
      <c r="AF16" s="100"/>
      <c r="AG16" s="100"/>
      <c r="AH16" s="106"/>
      <c r="AI16" s="283"/>
      <c r="AJ16" s="99"/>
      <c r="AK16" s="282"/>
      <c r="AL16" s="100"/>
      <c r="AM16" s="100"/>
      <c r="AN16" s="102"/>
      <c r="AO16" s="102"/>
      <c r="AP16" s="103"/>
      <c r="AQ16" s="237">
        <f t="shared" si="5"/>
        <v>43159</v>
      </c>
      <c r="AR16" s="290" t="str">
        <f>IF(ISBLANK(StartDate)=TRUE,"",IF(StartDate&gt;AQ16,NA,IF(StartDate=AQ16,0,5)))</f>
        <v/>
      </c>
      <c r="AS16" s="93" t="str">
        <f t="shared" si="1"/>
        <v/>
      </c>
      <c r="AT16" s="75" t="str">
        <f>IF(ISBLANK(StartDate)=TRUE,"",IF(AR16=NA,NA,IF(V16=NA,0,AR16)))</f>
        <v/>
      </c>
      <c r="AU16" s="310" t="str">
        <f>IF(ISBLANK(StartDate)=TRUE,"",IF(AR16=NA,"",IF(Y16=NA,0,Y16-AS16+AT16)))</f>
        <v/>
      </c>
      <c r="AV16" s="313" t="str">
        <f t="shared" si="2"/>
        <v/>
      </c>
      <c r="AW16" s="75" t="str">
        <f>IF(ISBLANK(StartDate)=TRUE,"",IF(AT16=NA,NA,IF(X16=NA,AT16,AT16+X16)))</f>
        <v/>
      </c>
      <c r="AX16" s="94" t="str">
        <f t="shared" si="3"/>
        <v/>
      </c>
      <c r="AY16" s="95" t="str">
        <f>IF(AX16="","",IF(AX16&gt;720,AX16-720,0))</f>
        <v/>
      </c>
      <c r="AZ16" s="161"/>
      <c r="BA16" s="324" t="str">
        <f>IF(AX16="","",BA12+AY16)</f>
        <v/>
      </c>
      <c r="BB16" s="310" t="str">
        <f>IF(AZ16="","",BB12+AZ16)</f>
        <v/>
      </c>
      <c r="BC16" s="320" t="str">
        <f>IF(ISBLANK(StartDate)=TRUE,"",AX16-AY16)</f>
        <v/>
      </c>
      <c r="BD16" s="96" t="s">
        <v>12</v>
      </c>
      <c r="BE16" s="340"/>
      <c r="BF16" s="341"/>
      <c r="BI16" s="175" t="str">
        <f>BA16</f>
        <v/>
      </c>
      <c r="BJ16" s="175" t="str">
        <f>BA17</f>
        <v/>
      </c>
      <c r="BK16" s="2" t="str">
        <f>IF(BI16="","",BC16)</f>
        <v/>
      </c>
      <c r="BL16" s="2" t="str">
        <f>IF(BJ16="","",BC17)</f>
        <v/>
      </c>
      <c r="BM16" s="2" t="str">
        <f>IF(BI16="","",BC19)</f>
        <v/>
      </c>
    </row>
    <row r="17" spans="1:65" s="4" customFormat="1" ht="18.75" customHeight="1" thickBot="1" x14ac:dyDescent="0.25">
      <c r="A17" s="355"/>
      <c r="B17" s="51">
        <f>EDATE($A$11,1)</f>
        <v>43132</v>
      </c>
      <c r="C17" s="50" t="str">
        <f>IF(ISBLANK(StartDate)=TRUE,"",IF(StartDate&gt;B17,NA,IF(B17&lt;FiveYr,5,IF(B17&lt;TenYr,6,7))))</f>
        <v/>
      </c>
      <c r="D17" s="74" t="s">
        <v>13</v>
      </c>
      <c r="E17" s="166" t="str">
        <f>IF(ISBLANK(StartDate)=TRUE,"",IF(C17=NA,"",IF(AR13=NA,0,BC13)))</f>
        <v/>
      </c>
      <c r="F17" s="114"/>
      <c r="G17" s="116"/>
      <c r="H17" s="115"/>
      <c r="I17" s="115"/>
      <c r="J17" s="116"/>
      <c r="K17" s="116"/>
      <c r="L17" s="116"/>
      <c r="M17" s="116"/>
      <c r="N17" s="116"/>
      <c r="O17" s="115"/>
      <c r="P17" s="115"/>
      <c r="Q17" s="116"/>
      <c r="R17" s="116"/>
      <c r="S17" s="116"/>
      <c r="T17" s="118"/>
      <c r="U17" s="210">
        <f t="shared" si="4"/>
        <v>43146</v>
      </c>
      <c r="V17" s="121" t="str">
        <f>IF(ISBLANK(StartDate)=TRUE,"",IF(StartDate&gt;U17,NA,IF(U17&lt;FiveYr,5,IF(U17&lt;TenYr,6,7))))</f>
        <v/>
      </c>
      <c r="W17" s="76" t="str">
        <f t="shared" si="0"/>
        <v/>
      </c>
      <c r="X17" s="77" t="str">
        <f>IF(V17=NA,NA,IF(C17=NA,0,V17))</f>
        <v/>
      </c>
      <c r="Y17" s="78" t="str">
        <f>IF(ISBLANK(StartDate)=TRUE,"",IF(V17=NA,"",IF(C17=NA,0,E17-W17+X17)))</f>
        <v/>
      </c>
      <c r="Z17" s="301"/>
      <c r="AA17" s="114"/>
      <c r="AB17" s="115"/>
      <c r="AC17" s="115"/>
      <c r="AD17" s="116"/>
      <c r="AE17" s="116"/>
      <c r="AF17" s="116"/>
      <c r="AG17" s="116"/>
      <c r="AH17" s="114"/>
      <c r="AI17" s="115"/>
      <c r="AJ17" s="115"/>
      <c r="AK17" s="116"/>
      <c r="AL17" s="116"/>
      <c r="AM17" s="116"/>
      <c r="AN17" s="122"/>
      <c r="AO17" s="122"/>
      <c r="AP17" s="123"/>
      <c r="AQ17" s="237">
        <f t="shared" si="5"/>
        <v>43159</v>
      </c>
      <c r="AR17" s="291" t="str">
        <f>IF(ISBLANK(StartDate)=TRUE,"",IF(StartDate&gt;AQ17,NA,IF(AQ17&lt;FiveYr,5,IF(AQ17&lt;TenYr,6,7))))</f>
        <v/>
      </c>
      <c r="AS17" s="83" t="str">
        <f t="shared" si="1"/>
        <v/>
      </c>
      <c r="AT17" s="77" t="str">
        <f>IF(ISBLANK(StartDate)=TRUE,"",IF(AR17=NA,NA,IF(V17=NA,0,AR17)))</f>
        <v/>
      </c>
      <c r="AU17" s="198" t="str">
        <f>IF(ISBLANK(StartDate)=TRUE,"",IF(AR17=NA,"",IF(Y17=NA,0,Y17-AS17+AT17)))</f>
        <v/>
      </c>
      <c r="AV17" s="314" t="str">
        <f t="shared" si="2"/>
        <v/>
      </c>
      <c r="AW17" s="77" t="str">
        <f>IF(ISBLANK(StartDate)=TRUE,"",IF(AT17=NA,NA,IF(X17=NA,AT17,AT17+X17)))</f>
        <v/>
      </c>
      <c r="AX17" s="84" t="str">
        <f t="shared" si="3"/>
        <v/>
      </c>
      <c r="AY17" s="85" t="str">
        <f>IF(AX17="","",IF(AX17&gt;360,AX17-360,0))</f>
        <v/>
      </c>
      <c r="AZ17" s="160"/>
      <c r="BA17" s="325" t="str">
        <f>IF(AX17="","",BA13+AY17)</f>
        <v/>
      </c>
      <c r="BB17" s="198" t="str">
        <f>IF(AZ17="","",BB13+AZ17)</f>
        <v/>
      </c>
      <c r="BC17" s="321" t="str">
        <f>IF(ISBLANK(StartDate)=TRUE,"",AX17-AY17)</f>
        <v/>
      </c>
      <c r="BD17" s="87" t="s">
        <v>13</v>
      </c>
      <c r="BE17" s="342"/>
      <c r="BF17" s="343"/>
      <c r="BK17" s="2"/>
      <c r="BL17" s="2"/>
      <c r="BM17" s="2"/>
    </row>
    <row r="18" spans="1:65" s="4" customFormat="1" ht="18.75" customHeight="1" thickBot="1" x14ac:dyDescent="0.25">
      <c r="A18" s="355"/>
      <c r="B18" s="51">
        <f>EDATE($A$11,1)</f>
        <v>43132</v>
      </c>
      <c r="C18" s="50" t="str">
        <f>IF(ISBLANK(StartDate)=TRUE,"",IF(StartDate&gt;B18,NA,IF(StartDate=B18,0,0)))</f>
        <v/>
      </c>
      <c r="D18" s="199" t="s">
        <v>21</v>
      </c>
      <c r="E18" s="205" t="str">
        <f>IF(ISBLANK(StartDate)=TRUE,"",IF(C18=NA,"",IF(AR14=NA,0,AX14)))</f>
        <v/>
      </c>
      <c r="F18" s="218"/>
      <c r="G18" s="213"/>
      <c r="H18" s="214"/>
      <c r="I18" s="214"/>
      <c r="J18" s="218"/>
      <c r="K18" s="213"/>
      <c r="L18" s="213"/>
      <c r="M18" s="213"/>
      <c r="N18" s="213"/>
      <c r="O18" s="214"/>
      <c r="P18" s="214"/>
      <c r="Q18" s="218"/>
      <c r="R18" s="213"/>
      <c r="S18" s="213"/>
      <c r="T18" s="220"/>
      <c r="U18" s="216">
        <f t="shared" si="4"/>
        <v>43146</v>
      </c>
      <c r="V18" s="217" t="str">
        <f>IF(ISBLANK(StartDate)=TRUE,"",IF(StartDate&gt;U18,NA,IF(StartDate=U18,0,0)))</f>
        <v/>
      </c>
      <c r="W18" s="79" t="str">
        <f>IF(ISBLANK(StartDate)=TRUE,"",IF(V18=NA,"",IF(C18=NA,0,SUM(F18:T18))))</f>
        <v/>
      </c>
      <c r="X18" s="80" t="str">
        <f>IF(ISBLANK(StartDate)=TRUE,"",NA)</f>
        <v/>
      </c>
      <c r="Y18" s="81" t="str">
        <f>IF(ISBLANK(StartDate)=TRUE,"",IF(V18=NA,"",IF(C18=NA,0,E18-W18)))</f>
        <v/>
      </c>
      <c r="Z18" s="302"/>
      <c r="AA18" s="218"/>
      <c r="AB18" s="214"/>
      <c r="AC18" s="214"/>
      <c r="AD18" s="218"/>
      <c r="AE18" s="213"/>
      <c r="AF18" s="213"/>
      <c r="AG18" s="213"/>
      <c r="AH18" s="218"/>
      <c r="AI18" s="214"/>
      <c r="AJ18" s="214"/>
      <c r="AK18" s="218"/>
      <c r="AL18" s="213"/>
      <c r="AM18" s="213"/>
      <c r="AN18" s="224"/>
      <c r="AO18" s="224"/>
      <c r="AP18" s="225"/>
      <c r="AQ18" s="237">
        <f t="shared" si="5"/>
        <v>43159</v>
      </c>
      <c r="AR18" s="289" t="str">
        <f>IF(ISBLANK(StartDate)=TRUE,"",IF(StartDate&gt;AQ18,NA,IF(StartDate=AQ18,0,0)))</f>
        <v/>
      </c>
      <c r="AS18" s="88" t="str">
        <f>IF(ISBLANK(StartDate)=TRUE,"",IF(AR18=NA,"",IF(Y18=NA,0,SUM(AA18:AP18))))</f>
        <v/>
      </c>
      <c r="AT18" s="80" t="str">
        <f>IF(ISBLANK(StartDate)=TRUE,"",NA)</f>
        <v/>
      </c>
      <c r="AU18" s="311" t="str">
        <f>IF(ISBLANK(StartDate)=TRUE,"",IF(AR18=NA,"",IF(Y18=NA,0,Y18-AS18)))</f>
        <v/>
      </c>
      <c r="AV18" s="315" t="str">
        <f>IF(ISERROR(AS18+W18)=TRUE,IF(AR18=NA,"",AS18),AS18+W18)</f>
        <v/>
      </c>
      <c r="AW18" s="80" t="str">
        <f>IF(ISBLANK(StartDate)=TRUE,"",NA)</f>
        <v/>
      </c>
      <c r="AX18" s="89" t="str">
        <f>AU18</f>
        <v/>
      </c>
      <c r="AY18" s="221"/>
      <c r="AZ18" s="222"/>
      <c r="BA18" s="223"/>
      <c r="BB18" s="317"/>
      <c r="BC18" s="322" t="str">
        <f>IF(ISBLANK(StartDate)=TRUE,"",AX18)</f>
        <v/>
      </c>
      <c r="BD18" s="92" t="s">
        <v>21</v>
      </c>
      <c r="BE18" s="180"/>
      <c r="BF18" s="181"/>
      <c r="BK18" s="2"/>
      <c r="BL18" s="2"/>
      <c r="BM18" s="2"/>
    </row>
    <row r="19" spans="1:65" s="4" customFormat="1" ht="18.75" customHeight="1" thickBot="1" x14ac:dyDescent="0.25">
      <c r="A19" s="355"/>
      <c r="B19" s="51">
        <f>EDATE($A$11,1)</f>
        <v>43132</v>
      </c>
      <c r="C19" s="14">
        <v>0</v>
      </c>
      <c r="D19" s="200" t="s">
        <v>51</v>
      </c>
      <c r="E19" s="206" t="s">
        <v>53</v>
      </c>
      <c r="F19" s="248"/>
      <c r="G19" s="233"/>
      <c r="H19" s="235"/>
      <c r="I19" s="235"/>
      <c r="J19" s="234"/>
      <c r="K19" s="233"/>
      <c r="L19" s="233"/>
      <c r="M19" s="233"/>
      <c r="N19" s="233"/>
      <c r="O19" s="235"/>
      <c r="P19" s="235"/>
      <c r="Q19" s="234"/>
      <c r="R19" s="233"/>
      <c r="S19" s="233"/>
      <c r="T19" s="243"/>
      <c r="U19" s="237">
        <f t="shared" si="4"/>
        <v>43146</v>
      </c>
      <c r="V19" s="238" t="str">
        <f>IF(ISBLANK(StartDate)=TRUE,"",IF(StartDate&gt;U19,NA,IF(StartDate=U19,0,0)))</f>
        <v/>
      </c>
      <c r="W19" s="239" t="str">
        <f>IF(ISBLANK(StartDate)=TRUE,"",IF(V19=NA,"",IF(C20=NA,0,SUM(F19:T19))))</f>
        <v/>
      </c>
      <c r="X19" s="240" t="str">
        <f>V19</f>
        <v/>
      </c>
      <c r="Y19" s="241" t="str">
        <f ca="1">IF(ISBLANK(StartDate)=TRUE,"",IF(V19=NA,"",IF(StartDate&gt;TODAY(),"",X19-W19)))</f>
        <v/>
      </c>
      <c r="Z19" s="303"/>
      <c r="AA19" s="234"/>
      <c r="AB19" s="235"/>
      <c r="AC19" s="235"/>
      <c r="AD19" s="234"/>
      <c r="AE19" s="233"/>
      <c r="AF19" s="233"/>
      <c r="AG19" s="233"/>
      <c r="AH19" s="233"/>
      <c r="AI19" s="235"/>
      <c r="AJ19" s="235"/>
      <c r="AK19" s="234"/>
      <c r="AL19" s="233"/>
      <c r="AM19" s="233"/>
      <c r="AN19" s="249"/>
      <c r="AO19" s="249"/>
      <c r="AP19" s="249"/>
      <c r="AQ19" s="237">
        <f t="shared" si="5"/>
        <v>43159</v>
      </c>
      <c r="AR19" s="289" t="str">
        <f>IF(ISBLANK(StartDate)=TRUE,"",IF(StartDate&gt;AQ19,NA,IF(StartDate=AQ19,0,0)))</f>
        <v/>
      </c>
      <c r="AS19" s="244" t="str">
        <f>IF(ISBLANK(StartDate)=TRUE,"",IF(AR19=NA,"",IF(Y19=NA,0,SUM(AA19:AP19))))</f>
        <v/>
      </c>
      <c r="AT19" s="240" t="str">
        <f>AR19</f>
        <v/>
      </c>
      <c r="AU19" s="312" t="str">
        <f ca="1">IF(ISBLANK(StartDate)=TRUE,"",IF(AR19=NA,"",IF(StartDate&gt;TODAY(),"",AT19-AS19)))</f>
        <v/>
      </c>
      <c r="AV19" s="316" t="str">
        <f>IF(ISERROR(AS19+W19)=TRUE,IF(AR19=NA,"",AS19),AS19+W19)</f>
        <v/>
      </c>
      <c r="AW19" s="240" t="str">
        <f>IF(ISBLANK(StartDate)=TRUE,"",X19+AT19)</f>
        <v/>
      </c>
      <c r="AX19" s="292" t="s">
        <v>52</v>
      </c>
      <c r="AY19" s="261" t="str">
        <f>AW19</f>
        <v/>
      </c>
      <c r="AZ19" s="246"/>
      <c r="BA19" s="247"/>
      <c r="BB19" s="246"/>
      <c r="BC19" s="323"/>
      <c r="BD19" s="204" t="s">
        <v>51</v>
      </c>
      <c r="BE19" s="350"/>
      <c r="BF19" s="351"/>
      <c r="BK19" s="2"/>
      <c r="BL19" s="2"/>
      <c r="BM19" s="2"/>
    </row>
    <row r="20" spans="1:65" ht="18.75" customHeight="1" thickTop="1" thickBot="1" x14ac:dyDescent="0.25">
      <c r="A20" s="355">
        <f>B20</f>
        <v>43160</v>
      </c>
      <c r="B20" s="51">
        <f>EDATE($A$11,2)</f>
        <v>43160</v>
      </c>
      <c r="C20" s="50" t="str">
        <f>IF(ISBLANK(StartDate)=TRUE,"",IF(StartDate&gt;B20,NA,IF(StartDate=B20,0,5)))</f>
        <v/>
      </c>
      <c r="D20" s="73" t="s">
        <v>12</v>
      </c>
      <c r="E20" s="207" t="str">
        <f>IF(ISBLANK(StartDate)=TRUE,"",IF(C20=NA,"",IF(AR16=NA,0,BC16)))</f>
        <v/>
      </c>
      <c r="F20" s="106"/>
      <c r="G20" s="100"/>
      <c r="H20" s="283"/>
      <c r="I20" s="99"/>
      <c r="J20" s="282"/>
      <c r="K20" s="100"/>
      <c r="L20" s="100"/>
      <c r="M20" s="100"/>
      <c r="N20" s="100"/>
      <c r="O20" s="283"/>
      <c r="P20" s="99"/>
      <c r="Q20" s="282"/>
      <c r="R20" s="107"/>
      <c r="S20" s="107"/>
      <c r="T20" s="105"/>
      <c r="U20" s="208">
        <f t="shared" si="4"/>
        <v>43174</v>
      </c>
      <c r="V20" s="209" t="str">
        <f>IF(ISBLANK(StartDate)=TRUE,"",IF(StartDate&gt;U20,NA,IF(StartDate=U20,0,5)))</f>
        <v/>
      </c>
      <c r="W20" s="90" t="str">
        <f t="shared" si="0"/>
        <v/>
      </c>
      <c r="X20" s="75" t="str">
        <f>IF(V20=NA,NA,IF(C20=NA,0,V20))</f>
        <v/>
      </c>
      <c r="Y20" s="91" t="str">
        <f>IF(ISBLANK(StartDate)=TRUE,"",IF(V20=NA,"",IF(C20=NA,0,E20-W20+X20)))</f>
        <v/>
      </c>
      <c r="Z20" s="304">
        <f>A20+15</f>
        <v>43175</v>
      </c>
      <c r="AA20" s="106"/>
      <c r="AB20" s="283"/>
      <c r="AC20" s="99"/>
      <c r="AD20" s="282"/>
      <c r="AE20" s="100"/>
      <c r="AF20" s="100"/>
      <c r="AG20" s="100"/>
      <c r="AH20" s="106"/>
      <c r="AI20" s="283"/>
      <c r="AJ20" s="99"/>
      <c r="AK20" s="282"/>
      <c r="AL20" s="100"/>
      <c r="AM20" s="100"/>
      <c r="AN20" s="100"/>
      <c r="AO20" s="104"/>
      <c r="AP20" s="283"/>
      <c r="AQ20" s="237">
        <f t="shared" si="5"/>
        <v>43190</v>
      </c>
      <c r="AR20" s="290" t="str">
        <f>IF(ISBLANK(StartDate)=TRUE,"",IF(StartDate&gt;AQ20,NA,IF(StartDate=AQ20,0,5)))</f>
        <v/>
      </c>
      <c r="AS20" s="93" t="str">
        <f t="shared" si="1"/>
        <v/>
      </c>
      <c r="AT20" s="75" t="str">
        <f>IF(ISBLANK(StartDate)=TRUE,"",IF(AR20=NA,NA,IF(V20=NA,0,AR20)))</f>
        <v/>
      </c>
      <c r="AU20" s="310" t="str">
        <f>IF(ISBLANK(StartDate)=TRUE,"",IF(AR20=NA,"",IF(Y20=NA,0,Y20-AS20+AT20)))</f>
        <v/>
      </c>
      <c r="AV20" s="313" t="str">
        <f t="shared" si="2"/>
        <v/>
      </c>
      <c r="AW20" s="75" t="str">
        <f>IF(ISBLANK(StartDate)=TRUE,"",IF(AT20=NA,NA,IF(X20=NA,AT20,AT20+X20)))</f>
        <v/>
      </c>
      <c r="AX20" s="94" t="str">
        <f t="shared" si="3"/>
        <v/>
      </c>
      <c r="AY20" s="95" t="str">
        <f>IF(AX20="","",IF(AX20&gt;720,AX20-720,0))</f>
        <v/>
      </c>
      <c r="AZ20" s="161"/>
      <c r="BA20" s="324" t="str">
        <f>IF(AX20="","",BA16+AY20)</f>
        <v/>
      </c>
      <c r="BB20" s="310" t="str">
        <f>IF(AZ20="","",BB16+AZ20)</f>
        <v/>
      </c>
      <c r="BC20" s="320" t="str">
        <f>IF(ISBLANK(StartDate)=TRUE,"",AX20-AY20)</f>
        <v/>
      </c>
      <c r="BD20" s="96" t="s">
        <v>12</v>
      </c>
      <c r="BE20" s="340"/>
      <c r="BF20" s="341"/>
      <c r="BI20" s="175" t="str">
        <f>BA20</f>
        <v/>
      </c>
      <c r="BJ20" s="175" t="str">
        <f>BA21</f>
        <v/>
      </c>
      <c r="BK20" s="2" t="str">
        <f>IF(BI20="","",BC20)</f>
        <v/>
      </c>
      <c r="BL20" s="2" t="str">
        <f>IF(BJ20="","",BC21)</f>
        <v/>
      </c>
      <c r="BM20" s="2" t="str">
        <f t="shared" ref="BM20" si="6">IF(BI20="","",BC23)</f>
        <v/>
      </c>
    </row>
    <row r="21" spans="1:65" s="4" customFormat="1" ht="18.75" customHeight="1" thickBot="1" x14ac:dyDescent="0.25">
      <c r="A21" s="355"/>
      <c r="B21" s="51">
        <f>EDATE($A$11,2)</f>
        <v>43160</v>
      </c>
      <c r="C21" s="50" t="str">
        <f>IF(ISBLANK(StartDate)=TRUE,"",IF(StartDate&gt;B21,NA,IF(B21&lt;FiveYr,5,IF(B21&lt;TenYr,6,7))))</f>
        <v/>
      </c>
      <c r="D21" s="74" t="s">
        <v>13</v>
      </c>
      <c r="E21" s="166" t="str">
        <f>IF(ISBLANK(StartDate)=TRUE,"",IF(C21=NA,"",IF(AR17=NA,0,BC17)))</f>
        <v/>
      </c>
      <c r="F21" s="114"/>
      <c r="G21" s="116"/>
      <c r="H21" s="115"/>
      <c r="I21" s="115"/>
      <c r="J21" s="116"/>
      <c r="K21" s="116"/>
      <c r="L21" s="116"/>
      <c r="M21" s="116"/>
      <c r="N21" s="116"/>
      <c r="O21" s="115"/>
      <c r="P21" s="115"/>
      <c r="Q21" s="116"/>
      <c r="R21" s="116"/>
      <c r="S21" s="116"/>
      <c r="T21" s="118"/>
      <c r="U21" s="210">
        <f t="shared" si="4"/>
        <v>43174</v>
      </c>
      <c r="V21" s="121" t="str">
        <f>IF(ISBLANK(StartDate)=TRUE,"",IF(StartDate&gt;U21,NA,IF(U21&lt;FiveYr,5,IF(U21&lt;TenYr,6,7))))</f>
        <v/>
      </c>
      <c r="W21" s="76" t="str">
        <f t="shared" si="0"/>
        <v/>
      </c>
      <c r="X21" s="77" t="str">
        <f>IF(V21=NA,NA,IF(C21=NA,0,V21))</f>
        <v/>
      </c>
      <c r="Y21" s="78" t="str">
        <f>IF(ISBLANK(StartDate)=TRUE,"",IF(V21=NA,"",IF(C21=NA,0,E21-W21+X21)))</f>
        <v/>
      </c>
      <c r="Z21" s="301"/>
      <c r="AA21" s="114"/>
      <c r="AB21" s="115"/>
      <c r="AC21" s="115"/>
      <c r="AD21" s="116"/>
      <c r="AE21" s="116"/>
      <c r="AF21" s="116"/>
      <c r="AG21" s="116"/>
      <c r="AH21" s="114"/>
      <c r="AI21" s="115"/>
      <c r="AJ21" s="115"/>
      <c r="AK21" s="116"/>
      <c r="AL21" s="116"/>
      <c r="AM21" s="116"/>
      <c r="AN21" s="116"/>
      <c r="AO21" s="119"/>
      <c r="AP21" s="115"/>
      <c r="AQ21" s="237">
        <f t="shared" si="5"/>
        <v>43190</v>
      </c>
      <c r="AR21" s="291" t="str">
        <f>IF(ISBLANK(StartDate)=TRUE,"",IF(StartDate&gt;AQ21,NA,IF(AQ21&lt;FiveYr,5,IF(AQ21&lt;TenYr,6,7))))</f>
        <v/>
      </c>
      <c r="AS21" s="83" t="str">
        <f t="shared" si="1"/>
        <v/>
      </c>
      <c r="AT21" s="77" t="str">
        <f>IF(ISBLANK(StartDate)=TRUE,"",IF(AR21=NA,NA,IF(V21=NA,0,AR21)))</f>
        <v/>
      </c>
      <c r="AU21" s="198" t="str">
        <f>IF(ISBLANK(StartDate)=TRUE,"",IF(AR21=NA,"",IF(Y21=NA,0,Y21-AS21+AT21)))</f>
        <v/>
      </c>
      <c r="AV21" s="314" t="str">
        <f t="shared" si="2"/>
        <v/>
      </c>
      <c r="AW21" s="77" t="str">
        <f>IF(ISBLANK(StartDate)=TRUE,"",IF(AT21=NA,NA,IF(X21=NA,AT21,AT21+X21)))</f>
        <v/>
      </c>
      <c r="AX21" s="84" t="str">
        <f t="shared" si="3"/>
        <v/>
      </c>
      <c r="AY21" s="85" t="str">
        <f>IF(AX21="","",IF(AX21&gt;360,AX21-360,0))</f>
        <v/>
      </c>
      <c r="AZ21" s="160"/>
      <c r="BA21" s="325" t="str">
        <f>IF(AX21="","",BA17+AY21)</f>
        <v/>
      </c>
      <c r="BB21" s="198" t="str">
        <f>IF(AZ21="","",BB17+AZ21)</f>
        <v/>
      </c>
      <c r="BC21" s="321" t="str">
        <f>IF(ISBLANK(StartDate)=TRUE,"",AX21-AY21)</f>
        <v/>
      </c>
      <c r="BD21" s="87" t="s">
        <v>13</v>
      </c>
      <c r="BE21" s="342"/>
      <c r="BF21" s="343"/>
      <c r="BK21" s="2"/>
      <c r="BL21" s="2"/>
      <c r="BM21" s="2"/>
    </row>
    <row r="22" spans="1:65" s="4" customFormat="1" ht="18.75" customHeight="1" thickBot="1" x14ac:dyDescent="0.25">
      <c r="A22" s="355"/>
      <c r="B22" s="51">
        <f>EDATE($A$11,2)</f>
        <v>43160</v>
      </c>
      <c r="C22" s="50" t="str">
        <f>IF(ISBLANK(StartDate)=TRUE,"",IF(StartDate&gt;B22,NA,IF(StartDate=B22,0,0)))</f>
        <v/>
      </c>
      <c r="D22" s="199" t="s">
        <v>21</v>
      </c>
      <c r="E22" s="205" t="str">
        <f>IF(ISBLANK(StartDate)=TRUE,"",IF(C22=NA,"",IF(AR18=NA,0,AX18)))</f>
        <v/>
      </c>
      <c r="F22" s="250"/>
      <c r="G22" s="251"/>
      <c r="H22" s="214"/>
      <c r="I22" s="252"/>
      <c r="J22" s="218"/>
      <c r="K22" s="251"/>
      <c r="L22" s="251"/>
      <c r="M22" s="251"/>
      <c r="N22" s="251"/>
      <c r="O22" s="214"/>
      <c r="P22" s="252"/>
      <c r="Q22" s="218"/>
      <c r="R22" s="251"/>
      <c r="S22" s="251"/>
      <c r="T22" s="253"/>
      <c r="U22" s="237">
        <f t="shared" si="4"/>
        <v>43174</v>
      </c>
      <c r="V22" s="217" t="str">
        <f>IF(ISBLANK(StartDate)=TRUE,"",IF(StartDate&gt;U22,NA,IF(StartDate=U22,0,0)))</f>
        <v/>
      </c>
      <c r="W22" s="79" t="str">
        <f>IF(ISBLANK(StartDate)=TRUE,"",IF(V22=NA,"",IF(C22=NA,0,SUM(F22:T22))))</f>
        <v/>
      </c>
      <c r="X22" s="80" t="str">
        <f>IF(ISBLANK(StartDate)=TRUE,"",NA)</f>
        <v/>
      </c>
      <c r="Y22" s="81" t="str">
        <f>IF(ISBLANK(StartDate)=TRUE,"",IF(V22=NA,"",IF(C22=NA,0,E22-W22)))</f>
        <v/>
      </c>
      <c r="Z22" s="305"/>
      <c r="AA22" s="250"/>
      <c r="AB22" s="214"/>
      <c r="AC22" s="252"/>
      <c r="AD22" s="218"/>
      <c r="AE22" s="251"/>
      <c r="AF22" s="251"/>
      <c r="AG22" s="251"/>
      <c r="AH22" s="250"/>
      <c r="AI22" s="214"/>
      <c r="AJ22" s="252"/>
      <c r="AK22" s="218"/>
      <c r="AL22" s="251"/>
      <c r="AM22" s="251"/>
      <c r="AN22" s="251"/>
      <c r="AO22" s="254"/>
      <c r="AP22" s="214"/>
      <c r="AQ22" s="237">
        <f t="shared" si="5"/>
        <v>43190</v>
      </c>
      <c r="AR22" s="289" t="str">
        <f>IF(ISBLANK(StartDate)=TRUE,"",IF(StartDate&gt;AQ22,NA,IF(StartDate=AQ22,0,0)))</f>
        <v/>
      </c>
      <c r="AS22" s="88" t="str">
        <f>IF(ISBLANK(StartDate)=TRUE,"",IF(AR22=NA,"",IF(Y22=NA,0,SUM(AA22:AP22))))</f>
        <v/>
      </c>
      <c r="AT22" s="80" t="str">
        <f>IF(ISBLANK(StartDate)=TRUE,"",NA)</f>
        <v/>
      </c>
      <c r="AU22" s="311" t="str">
        <f>IF(ISBLANK(StartDate)=TRUE,"",IF(AR22=NA,"",IF(Y22=NA,0,Y22-AS22)))</f>
        <v/>
      </c>
      <c r="AV22" s="315" t="str">
        <f>IF(ISERROR(AS22+W22)=TRUE,IF(AR22=NA,"",AS22),AS22+W22)</f>
        <v/>
      </c>
      <c r="AW22" s="80" t="str">
        <f>IF(ISBLANK(StartDate)=TRUE,"",NA)</f>
        <v/>
      </c>
      <c r="AX22" s="245"/>
      <c r="AY22" s="255"/>
      <c r="AZ22" s="256"/>
      <c r="BA22" s="257"/>
      <c r="BB22" s="318"/>
      <c r="BC22" s="322" t="str">
        <f>IF(ISBLANK(StartDate)=TRUE,"",AX22)</f>
        <v/>
      </c>
      <c r="BD22" s="92" t="s">
        <v>21</v>
      </c>
      <c r="BE22" s="180"/>
      <c r="BF22" s="181"/>
      <c r="BK22" s="2"/>
      <c r="BL22" s="2"/>
      <c r="BM22" s="2"/>
    </row>
    <row r="23" spans="1:65" s="4" customFormat="1" ht="18.75" customHeight="1" thickBot="1" x14ac:dyDescent="0.25">
      <c r="A23" s="355"/>
      <c r="B23" s="51">
        <f>EDATE($A$11,2)</f>
        <v>43160</v>
      </c>
      <c r="C23" s="14">
        <v>0</v>
      </c>
      <c r="D23" s="200" t="s">
        <v>51</v>
      </c>
      <c r="E23" s="206" t="s">
        <v>53</v>
      </c>
      <c r="F23" s="248"/>
      <c r="G23" s="234"/>
      <c r="H23" s="235"/>
      <c r="I23" s="235"/>
      <c r="J23" s="234"/>
      <c r="K23" s="233"/>
      <c r="L23" s="233"/>
      <c r="M23" s="233"/>
      <c r="N23" s="233"/>
      <c r="O23" s="235"/>
      <c r="P23" s="235"/>
      <c r="Q23" s="234"/>
      <c r="R23" s="233"/>
      <c r="S23" s="233"/>
      <c r="T23" s="243"/>
      <c r="U23" s="237">
        <f t="shared" si="4"/>
        <v>43174</v>
      </c>
      <c r="V23" s="238" t="str">
        <f>IF(ISBLANK(StartDate)=TRUE,"",IF(StartDate&gt;U23,NA,IF(StartDate=U23,0,0)))</f>
        <v/>
      </c>
      <c r="W23" s="239" t="str">
        <f t="shared" si="0"/>
        <v/>
      </c>
      <c r="X23" s="240" t="str">
        <f>V23</f>
        <v/>
      </c>
      <c r="Y23" s="241" t="str">
        <f ca="1">IF(ISBLANK(StartDate)=TRUE,"",IF(V23=NA,"",IF(StartDate&gt;TODAY(),"",X23-W23)))</f>
        <v/>
      </c>
      <c r="Z23" s="303"/>
      <c r="AA23" s="234"/>
      <c r="AB23" s="235"/>
      <c r="AC23" s="235"/>
      <c r="AD23" s="234"/>
      <c r="AE23" s="233"/>
      <c r="AF23" s="233"/>
      <c r="AG23" s="233"/>
      <c r="AH23" s="233"/>
      <c r="AI23" s="235"/>
      <c r="AJ23" s="235"/>
      <c r="AK23" s="234"/>
      <c r="AL23" s="233"/>
      <c r="AM23" s="233"/>
      <c r="AN23" s="233"/>
      <c r="AO23" s="242"/>
      <c r="AP23" s="235"/>
      <c r="AQ23" s="237">
        <f t="shared" si="5"/>
        <v>43190</v>
      </c>
      <c r="AR23" s="289" t="str">
        <f>IF(ISBLANK(StartDate)=TRUE,"",IF(StartDate&gt;AQ23,NA,IF(StartDate=AQ23,0,0)))</f>
        <v/>
      </c>
      <c r="AS23" s="244" t="str">
        <f>IF(ISBLANK(StartDate)=TRUE,"",IF(AR23=NA,"",IF(Y23=NA,0,SUM(AA23:AP23))))</f>
        <v/>
      </c>
      <c r="AT23" s="240" t="str">
        <f>AR23</f>
        <v/>
      </c>
      <c r="AU23" s="312" t="str">
        <f ca="1">IF(ISBLANK(StartDate)=TRUE,"",IF(AR23=NA,"",IF(StartDate&gt;TODAY(),"",AT23-AS23)))</f>
        <v/>
      </c>
      <c r="AV23" s="316" t="str">
        <f t="shared" si="2"/>
        <v/>
      </c>
      <c r="AW23" s="240" t="str">
        <f>IF(ISBLANK(StartDate)=TRUE,"",X23+AT23)</f>
        <v/>
      </c>
      <c r="AX23" s="292" t="s">
        <v>52</v>
      </c>
      <c r="AY23" s="261" t="str">
        <f>AW23</f>
        <v/>
      </c>
      <c r="AZ23" s="246"/>
      <c r="BA23" s="247"/>
      <c r="BB23" s="246"/>
      <c r="BC23" s="323"/>
      <c r="BD23" s="204" t="s">
        <v>51</v>
      </c>
      <c r="BE23" s="350"/>
      <c r="BF23" s="351"/>
      <c r="BK23" s="2"/>
      <c r="BL23" s="2"/>
      <c r="BM23" s="2"/>
    </row>
    <row r="24" spans="1:65" ht="18.75" customHeight="1" thickTop="1" thickBot="1" x14ac:dyDescent="0.25">
      <c r="A24" s="355">
        <f>B24</f>
        <v>43191</v>
      </c>
      <c r="B24" s="51">
        <f>EDATE($A$11,3)</f>
        <v>43191</v>
      </c>
      <c r="C24" s="50" t="str">
        <f>IF(ISBLANK(StartDate)=TRUE,"",IF(StartDate&gt;B24,NA,IF(StartDate=B24,0,5)))</f>
        <v/>
      </c>
      <c r="D24" s="73" t="s">
        <v>12</v>
      </c>
      <c r="E24" s="207" t="str">
        <f>IF(ISBLANK(StartDate)=TRUE,"",IF(C24=NA,"",IF(AR20=NA,0,BC20)))</f>
        <v/>
      </c>
      <c r="F24" s="163"/>
      <c r="G24" s="282"/>
      <c r="H24" s="100"/>
      <c r="I24" s="100"/>
      <c r="J24" s="100"/>
      <c r="K24" s="100"/>
      <c r="L24" s="283"/>
      <c r="M24" s="99"/>
      <c r="N24" s="282"/>
      <c r="O24" s="100"/>
      <c r="P24" s="100"/>
      <c r="Q24" s="100"/>
      <c r="R24" s="100"/>
      <c r="S24" s="283"/>
      <c r="T24" s="101"/>
      <c r="U24" s="208">
        <f t="shared" si="4"/>
        <v>43205</v>
      </c>
      <c r="V24" s="209" t="str">
        <f>IF(ISBLANK(StartDate)=TRUE,"",IF(StartDate&gt;U24,NA,IF(StartDate=U24,0,5)))</f>
        <v/>
      </c>
      <c r="W24" s="90" t="str">
        <f t="shared" si="0"/>
        <v/>
      </c>
      <c r="X24" s="75" t="str">
        <f>IF(V24=NA,NA,IF(C24=NA,0,V24))</f>
        <v/>
      </c>
      <c r="Y24" s="91" t="str">
        <f>IF(ISBLANK(StartDate)=TRUE,"",IF(V24=NA,"",IF(C24=NA,0,E24-W24+X24)))</f>
        <v/>
      </c>
      <c r="Z24" s="304">
        <f>A24+15</f>
        <v>43206</v>
      </c>
      <c r="AA24" s="282"/>
      <c r="AB24" s="106"/>
      <c r="AC24" s="100"/>
      <c r="AD24" s="106"/>
      <c r="AE24" s="106"/>
      <c r="AF24" s="283"/>
      <c r="AG24" s="99"/>
      <c r="AH24" s="281"/>
      <c r="AI24" s="282"/>
      <c r="AJ24" s="106"/>
      <c r="AK24" s="106"/>
      <c r="AL24" s="106"/>
      <c r="AM24" s="99"/>
      <c r="AN24" s="99"/>
      <c r="AO24" s="282"/>
      <c r="AP24" s="110"/>
      <c r="AQ24" s="237">
        <f t="shared" si="5"/>
        <v>43220</v>
      </c>
      <c r="AR24" s="290" t="str">
        <f>IF(ISBLANK(StartDate)=TRUE,"",IF(StartDate&gt;AQ24,NA,IF(StartDate=AQ24,0,5)))</f>
        <v/>
      </c>
      <c r="AS24" s="93" t="str">
        <f t="shared" si="1"/>
        <v/>
      </c>
      <c r="AT24" s="75" t="str">
        <f>IF(ISBLANK(StartDate)=TRUE,"",IF(AR24=NA,NA,IF(V24=NA,0,AR24)))</f>
        <v/>
      </c>
      <c r="AU24" s="310" t="str">
        <f>IF(ISBLANK(StartDate)=TRUE,"",IF(AR24=NA,"",IF(Y24=NA,0,Y24-AS24+AT24)))</f>
        <v/>
      </c>
      <c r="AV24" s="313" t="str">
        <f t="shared" si="2"/>
        <v/>
      </c>
      <c r="AW24" s="75" t="str">
        <f>IF(ISBLANK(StartDate)=TRUE,"",IF(AT24=NA,NA,IF(X24=NA,AT24,AT24+X24)))</f>
        <v/>
      </c>
      <c r="AX24" s="94" t="str">
        <f t="shared" si="3"/>
        <v/>
      </c>
      <c r="AY24" s="95" t="str">
        <f>IF(AX24="","",IF(AX24&gt;720,AX24-720,0))</f>
        <v/>
      </c>
      <c r="AZ24" s="161"/>
      <c r="BA24" s="324" t="str">
        <f>IF(AX24="","",BA20+AY24)</f>
        <v/>
      </c>
      <c r="BB24" s="310" t="str">
        <f>IF(AZ24="","",BB20+AZ24)</f>
        <v/>
      </c>
      <c r="BC24" s="320" t="str">
        <f>IF(ISBLANK(StartDate)=TRUE,"",AX24-AY24)</f>
        <v/>
      </c>
      <c r="BD24" s="96" t="s">
        <v>12</v>
      </c>
      <c r="BE24" s="340"/>
      <c r="BF24" s="341"/>
      <c r="BI24" s="175" t="str">
        <f>BA24</f>
        <v/>
      </c>
      <c r="BJ24" s="175" t="str">
        <f>BA25</f>
        <v/>
      </c>
      <c r="BK24" s="2" t="str">
        <f>IF(BI24="","",BC24)</f>
        <v/>
      </c>
      <c r="BL24" s="2" t="str">
        <f>IF(BJ24="","",BC25)</f>
        <v/>
      </c>
      <c r="BM24" s="2" t="str">
        <f t="shared" ref="BM24" si="7">IF(BI24="","",BC27)</f>
        <v/>
      </c>
    </row>
    <row r="25" spans="1:65" s="4" customFormat="1" ht="18.75" customHeight="1" thickBot="1" x14ac:dyDescent="0.25">
      <c r="A25" s="355"/>
      <c r="B25" s="51">
        <f>EDATE($A$11,3)</f>
        <v>43191</v>
      </c>
      <c r="C25" s="50" t="str">
        <f>IF(ISBLANK(StartDate)=TRUE,"",IF(StartDate&gt;B25,NA,IF(B25&lt;FiveYr,5,IF(B25&lt;TenYr,6,7))))</f>
        <v/>
      </c>
      <c r="D25" s="74" t="s">
        <v>13</v>
      </c>
      <c r="E25" s="166" t="str">
        <f>IF(ISBLANK(StartDate)=TRUE,"",IF(C25=NA,"",IF(AR21=NA,0,BC21)))</f>
        <v/>
      </c>
      <c r="F25" s="164"/>
      <c r="G25" s="116"/>
      <c r="H25" s="116"/>
      <c r="I25" s="116"/>
      <c r="J25" s="116"/>
      <c r="K25" s="116"/>
      <c r="L25" s="115"/>
      <c r="M25" s="115"/>
      <c r="N25" s="116"/>
      <c r="O25" s="116"/>
      <c r="P25" s="116"/>
      <c r="Q25" s="116"/>
      <c r="R25" s="116"/>
      <c r="S25" s="115"/>
      <c r="T25" s="120"/>
      <c r="U25" s="210">
        <f t="shared" si="4"/>
        <v>43205</v>
      </c>
      <c r="V25" s="121" t="str">
        <f>IF(ISBLANK(StartDate)=TRUE,"",IF(StartDate&gt;U25,NA,IF(U25&lt;FiveYr,5,IF(U25&lt;TenYr,6,7))))</f>
        <v/>
      </c>
      <c r="W25" s="76" t="str">
        <f t="shared" si="0"/>
        <v/>
      </c>
      <c r="X25" s="77" t="str">
        <f>IF(V25=NA,NA,IF(C25=NA,0,V25))</f>
        <v/>
      </c>
      <c r="Y25" s="78" t="str">
        <f>IF(ISBLANK(StartDate)=TRUE,"",IF(V25=NA,"",IF(C25=NA,0,E25-W25+X25)))</f>
        <v/>
      </c>
      <c r="Z25" s="301"/>
      <c r="AA25" s="116"/>
      <c r="AB25" s="114"/>
      <c r="AC25" s="116"/>
      <c r="AD25" s="114"/>
      <c r="AE25" s="114"/>
      <c r="AF25" s="115"/>
      <c r="AG25" s="115"/>
      <c r="AH25" s="263"/>
      <c r="AI25" s="116"/>
      <c r="AJ25" s="114"/>
      <c r="AK25" s="114"/>
      <c r="AL25" s="114"/>
      <c r="AM25" s="115"/>
      <c r="AN25" s="115"/>
      <c r="AO25" s="116"/>
      <c r="AP25" s="211"/>
      <c r="AQ25" s="237">
        <f t="shared" si="5"/>
        <v>43220</v>
      </c>
      <c r="AR25" s="291" t="str">
        <f>IF(ISBLANK(StartDate)=TRUE,"",IF(StartDate&gt;AQ25,NA,IF(AQ25&lt;FiveYr,5,IF(AQ25&lt;TenYr,6,7))))</f>
        <v/>
      </c>
      <c r="AS25" s="83" t="str">
        <f t="shared" si="1"/>
        <v/>
      </c>
      <c r="AT25" s="77" t="str">
        <f>IF(ISBLANK(StartDate)=TRUE,"",IF(AR25=NA,NA,IF(V25=NA,0,AR25)))</f>
        <v/>
      </c>
      <c r="AU25" s="198" t="str">
        <f>IF(ISBLANK(StartDate)=TRUE,"",IF(AR25=NA,"",IF(Y25=NA,0,Y25-AS25+AT25)))</f>
        <v/>
      </c>
      <c r="AV25" s="314" t="str">
        <f t="shared" si="2"/>
        <v/>
      </c>
      <c r="AW25" s="77" t="str">
        <f>IF(ISBLANK(StartDate)=TRUE,"",IF(AT25=NA,NA,IF(X25=NA,AT25,AT25+X25)))</f>
        <v/>
      </c>
      <c r="AX25" s="84" t="str">
        <f t="shared" si="3"/>
        <v/>
      </c>
      <c r="AY25" s="85" t="str">
        <f>IF(AX25="","",IF(AX25&gt;360,AX25-360,0))</f>
        <v/>
      </c>
      <c r="AZ25" s="160"/>
      <c r="BA25" s="325" t="str">
        <f>IF(AX25="","",BA21+AY25)</f>
        <v/>
      </c>
      <c r="BB25" s="198" t="str">
        <f>IF(AZ25="","",BB21+AZ25)</f>
        <v/>
      </c>
      <c r="BC25" s="321" t="str">
        <f>IF(ISBLANK(StartDate)=TRUE,"",AX25-AY25)</f>
        <v/>
      </c>
      <c r="BD25" s="87" t="s">
        <v>13</v>
      </c>
      <c r="BE25" s="342"/>
      <c r="BF25" s="343"/>
      <c r="BK25" s="3"/>
      <c r="BL25" s="2"/>
      <c r="BM25" s="2"/>
    </row>
    <row r="26" spans="1:65" s="4" customFormat="1" ht="18.75" customHeight="1" thickBot="1" x14ac:dyDescent="0.25">
      <c r="A26" s="355"/>
      <c r="B26" s="51">
        <f>EDATE($A$11,3)</f>
        <v>43191</v>
      </c>
      <c r="C26" s="50" t="str">
        <f>IF(ISBLANK(StartDate)=TRUE,"",IF(StartDate&gt;B26,NA,IF(StartDate=B26,0,0)))</f>
        <v/>
      </c>
      <c r="D26" s="199" t="s">
        <v>21</v>
      </c>
      <c r="E26" s="205" t="str">
        <f>IF(ISBLANK(StartDate)=TRUE,"",IF(C26=NA,"",IF(AR22=NA,0,AX22)))</f>
        <v/>
      </c>
      <c r="F26" s="212"/>
      <c r="G26" s="218"/>
      <c r="H26" s="213"/>
      <c r="I26" s="213"/>
      <c r="J26" s="213"/>
      <c r="K26" s="213"/>
      <c r="L26" s="214"/>
      <c r="M26" s="214"/>
      <c r="N26" s="218"/>
      <c r="O26" s="213"/>
      <c r="P26" s="213"/>
      <c r="Q26" s="213"/>
      <c r="R26" s="213"/>
      <c r="S26" s="214"/>
      <c r="T26" s="215"/>
      <c r="U26" s="216">
        <f t="shared" si="4"/>
        <v>43205</v>
      </c>
      <c r="V26" s="217" t="str">
        <f>IF(ISBLANK(StartDate)=TRUE,"",IF(StartDate&gt;U26,NA,IF(StartDate=U26,0,0)))</f>
        <v/>
      </c>
      <c r="W26" s="79" t="str">
        <f>IF(ISBLANK(StartDate)=TRUE,"",IF(V26=NA,"",IF(C26=NA,0,SUM(F26:T26))))</f>
        <v/>
      </c>
      <c r="X26" s="80" t="str">
        <f>IF(ISBLANK(StartDate)=TRUE,"",NA)</f>
        <v/>
      </c>
      <c r="Y26" s="81" t="str">
        <f>IF(ISBLANK(StartDate)=TRUE,"",IF(V26=NA,"",IF(C26=NA,0,E26-W26)))</f>
        <v/>
      </c>
      <c r="Z26" s="302"/>
      <c r="AA26" s="218"/>
      <c r="AB26" s="218"/>
      <c r="AC26" s="213"/>
      <c r="AD26" s="218"/>
      <c r="AE26" s="218"/>
      <c r="AF26" s="214"/>
      <c r="AG26" s="214"/>
      <c r="AH26" s="264"/>
      <c r="AI26" s="218"/>
      <c r="AJ26" s="218"/>
      <c r="AK26" s="218"/>
      <c r="AL26" s="218"/>
      <c r="AM26" s="214"/>
      <c r="AN26" s="214"/>
      <c r="AO26" s="218"/>
      <c r="AP26" s="226"/>
      <c r="AQ26" s="237">
        <f t="shared" si="5"/>
        <v>43220</v>
      </c>
      <c r="AR26" s="289" t="str">
        <f>IF(ISBLANK(StartDate)=TRUE,"",IF(StartDate&gt;AQ26,NA,IF(StartDate=AQ26,0,0)))</f>
        <v/>
      </c>
      <c r="AS26" s="88" t="str">
        <f>IF(ISBLANK(StartDate)=TRUE,"",IF(AR26=NA,"",IF(Y26=NA,0,SUM(AA26:AP26))))</f>
        <v/>
      </c>
      <c r="AT26" s="80" t="str">
        <f>IF(ISBLANK(StartDate)=TRUE,"",NA)</f>
        <v/>
      </c>
      <c r="AU26" s="311" t="str">
        <f>IF(ISBLANK(StartDate)=TRUE,"",IF(AR26=NA,"",IF(Y26=NA,0,Y26-AS26)))</f>
        <v/>
      </c>
      <c r="AV26" s="315" t="str">
        <f>IF(ISERROR(AS26+W26)=TRUE,IF(AR26=NA,"",AS26),AS26+W26)</f>
        <v/>
      </c>
      <c r="AW26" s="80" t="str">
        <f>IF(ISBLANK(StartDate)=TRUE,"",NA)</f>
        <v/>
      </c>
      <c r="AX26" s="89"/>
      <c r="AY26" s="221"/>
      <c r="AZ26" s="222"/>
      <c r="BA26" s="223"/>
      <c r="BB26" s="317"/>
      <c r="BC26" s="322" t="str">
        <f>IF(ISBLANK(StartDate)=TRUE,"",AX26)</f>
        <v/>
      </c>
      <c r="BD26" s="92" t="s">
        <v>21</v>
      </c>
      <c r="BE26" s="180"/>
      <c r="BF26" s="181"/>
      <c r="BK26" s="3"/>
      <c r="BL26" s="2"/>
      <c r="BM26" s="2"/>
    </row>
    <row r="27" spans="1:65" s="4" customFormat="1" ht="18.75" customHeight="1" thickBot="1" x14ac:dyDescent="0.25">
      <c r="A27" s="355"/>
      <c r="B27" s="51">
        <f>EDATE($A$11,3)</f>
        <v>43191</v>
      </c>
      <c r="C27" s="14">
        <v>0</v>
      </c>
      <c r="D27" s="200" t="s">
        <v>51</v>
      </c>
      <c r="E27" s="206" t="s">
        <v>53</v>
      </c>
      <c r="F27" s="232"/>
      <c r="G27" s="234"/>
      <c r="H27" s="234"/>
      <c r="I27" s="234"/>
      <c r="J27" s="233"/>
      <c r="K27" s="233"/>
      <c r="L27" s="235"/>
      <c r="M27" s="235"/>
      <c r="N27" s="234"/>
      <c r="O27" s="233"/>
      <c r="P27" s="233"/>
      <c r="Q27" s="233"/>
      <c r="R27" s="233"/>
      <c r="S27" s="235"/>
      <c r="T27" s="236"/>
      <c r="U27" s="237">
        <f t="shared" si="4"/>
        <v>43205</v>
      </c>
      <c r="V27" s="238" t="str">
        <f>IF(ISBLANK(StartDate)=TRUE,"",IF(StartDate&gt;U27,NA,IF(StartDate=U27,0,0)))</f>
        <v/>
      </c>
      <c r="W27" s="239" t="str">
        <f t="shared" si="0"/>
        <v/>
      </c>
      <c r="X27" s="240" t="str">
        <f>V27</f>
        <v/>
      </c>
      <c r="Y27" s="241" t="str">
        <f ca="1">IF(ISBLANK(StartDate)=TRUE,"",IF(V27=NA,"",IF(StartDate&gt;TODAY(),"",X27-W27)))</f>
        <v/>
      </c>
      <c r="Z27" s="303"/>
      <c r="AA27" s="234"/>
      <c r="AB27" s="234"/>
      <c r="AC27" s="233"/>
      <c r="AD27" s="233"/>
      <c r="AE27" s="233"/>
      <c r="AF27" s="235"/>
      <c r="AG27" s="235"/>
      <c r="AH27" s="265"/>
      <c r="AI27" s="234"/>
      <c r="AJ27" s="233"/>
      <c r="AK27" s="233"/>
      <c r="AL27" s="233"/>
      <c r="AM27" s="235"/>
      <c r="AN27" s="235"/>
      <c r="AO27" s="234"/>
      <c r="AP27" s="258"/>
      <c r="AQ27" s="237">
        <f t="shared" si="5"/>
        <v>43220</v>
      </c>
      <c r="AR27" s="289" t="str">
        <f>IF(ISBLANK(StartDate)=TRUE,"",IF(StartDate&gt;AQ27,NA,IF(StartDate=AQ27,0,8)))</f>
        <v/>
      </c>
      <c r="AS27" s="244" t="str">
        <f>IF(ISBLANK(StartDate)=TRUE,"",IF(AR27=NA,"",IF(Y27=NA,0,SUM(AA27:AP27))))</f>
        <v/>
      </c>
      <c r="AT27" s="240" t="str">
        <f>AR27</f>
        <v/>
      </c>
      <c r="AU27" s="312" t="str">
        <f ca="1">IF(ISBLANK(StartDate)=TRUE,"",IF(AR27=NA,"",IF(StartDate&gt;TODAY(),"",AT27-AS27)))</f>
        <v/>
      </c>
      <c r="AV27" s="316" t="str">
        <f t="shared" si="2"/>
        <v/>
      </c>
      <c r="AW27" s="240" t="str">
        <f>IF(ISBLANK(StartDate)=TRUE,"",X27+AT27)</f>
        <v/>
      </c>
      <c r="AX27" s="292" t="s">
        <v>52</v>
      </c>
      <c r="AY27" s="261" t="str">
        <f>AW27</f>
        <v/>
      </c>
      <c r="AZ27" s="246"/>
      <c r="BA27" s="247"/>
      <c r="BB27" s="246"/>
      <c r="BC27" s="323"/>
      <c r="BD27" s="204" t="s">
        <v>51</v>
      </c>
      <c r="BE27" s="350"/>
      <c r="BF27" s="351"/>
      <c r="BK27" s="3"/>
      <c r="BL27" s="2"/>
      <c r="BM27" s="2"/>
    </row>
    <row r="28" spans="1:65" ht="18.75" customHeight="1" thickTop="1" thickBot="1" x14ac:dyDescent="0.25">
      <c r="A28" s="355">
        <f>B28</f>
        <v>43221</v>
      </c>
      <c r="B28" s="51">
        <f>EDATE($A$11,4)</f>
        <v>43221</v>
      </c>
      <c r="C28" s="50" t="str">
        <f>IF(ISBLANK(StartDate)=TRUE,"",IF(StartDate&gt;B28,NA,IF(StartDate=B28,0,5)))</f>
        <v/>
      </c>
      <c r="D28" s="73" t="s">
        <v>12</v>
      </c>
      <c r="E28" s="207" t="str">
        <f>IF(ISBLANK(StartDate)=TRUE,"",IF(C28=NA,"",IF(AR24=NA,0,BC24)))</f>
        <v/>
      </c>
      <c r="F28" s="111"/>
      <c r="G28" s="100"/>
      <c r="H28" s="107"/>
      <c r="I28" s="107"/>
      <c r="J28" s="99"/>
      <c r="K28" s="99"/>
      <c r="L28" s="282"/>
      <c r="M28" s="107"/>
      <c r="N28" s="107"/>
      <c r="O28" s="107"/>
      <c r="P28" s="107"/>
      <c r="Q28" s="99"/>
      <c r="R28" s="99"/>
      <c r="S28" s="282"/>
      <c r="T28" s="105"/>
      <c r="U28" s="208">
        <f t="shared" si="4"/>
        <v>43235</v>
      </c>
      <c r="V28" s="209" t="str">
        <f>IF(ISBLANK(StartDate)=TRUE,"",IF(StartDate&gt;U28,NA,IF(StartDate=U28,0,5)))</f>
        <v/>
      </c>
      <c r="W28" s="90" t="str">
        <f t="shared" si="0"/>
        <v/>
      </c>
      <c r="X28" s="75" t="str">
        <f>IF(V28=NA,NA,IF(C28=NA,0,V28))</f>
        <v/>
      </c>
      <c r="Y28" s="91" t="str">
        <f>IF(ISBLANK(StartDate)=TRUE,"",IF(V28=NA,"",IF(C28=NA,0,E28-W28+X28)))</f>
        <v/>
      </c>
      <c r="Z28" s="304">
        <f>A28+15</f>
        <v>43236</v>
      </c>
      <c r="AA28" s="106"/>
      <c r="AB28" s="106"/>
      <c r="AC28" s="106"/>
      <c r="AD28" s="99"/>
      <c r="AE28" s="99"/>
      <c r="AF28" s="282"/>
      <c r="AG28" s="100"/>
      <c r="AH28" s="100"/>
      <c r="AI28" s="107"/>
      <c r="AJ28" s="106"/>
      <c r="AK28" s="99"/>
      <c r="AL28" s="99"/>
      <c r="AM28" s="281"/>
      <c r="AN28" s="282"/>
      <c r="AO28" s="100"/>
      <c r="AP28" s="108"/>
      <c r="AQ28" s="237">
        <f t="shared" si="5"/>
        <v>43251</v>
      </c>
      <c r="AR28" s="290" t="str">
        <f>IF(ISBLANK(StartDate)=TRUE,"",IF(StartDate&gt;AQ28,NA,IF(StartDate=AQ28,0,5)))</f>
        <v/>
      </c>
      <c r="AS28" s="93" t="str">
        <f t="shared" si="1"/>
        <v/>
      </c>
      <c r="AT28" s="75" t="str">
        <f>IF(ISBLANK(StartDate)=TRUE,"",IF(AR28=NA,NA,IF(V28=NA,0,AR28)))</f>
        <v/>
      </c>
      <c r="AU28" s="310" t="str">
        <f>IF(ISBLANK(StartDate)=TRUE,"",IF(AR28=NA,"",IF(Y28=NA,0,Y28-AS28+AT28)))</f>
        <v/>
      </c>
      <c r="AV28" s="313" t="str">
        <f t="shared" si="2"/>
        <v/>
      </c>
      <c r="AW28" s="75" t="str">
        <f>IF(ISBLANK(StartDate)=TRUE,"",IF(AT28=NA,NA,IF(X28=NA,AT28,AT28+X28)))</f>
        <v/>
      </c>
      <c r="AX28" s="94" t="str">
        <f t="shared" si="3"/>
        <v/>
      </c>
      <c r="AY28" s="95" t="str">
        <f>IF(AX28="","",IF(AX28&gt;720,AX28-720,0))</f>
        <v/>
      </c>
      <c r="AZ28" s="161"/>
      <c r="BA28" s="324" t="str">
        <f>IF(AX28="","",BA24+AY28)</f>
        <v/>
      </c>
      <c r="BB28" s="310" t="str">
        <f>IF(AZ28="","",BB24+AZ28)</f>
        <v/>
      </c>
      <c r="BC28" s="320" t="str">
        <f>IF(ISBLANK(StartDate)=TRUE,"",AX28-AY28)</f>
        <v/>
      </c>
      <c r="BD28" s="96" t="s">
        <v>12</v>
      </c>
      <c r="BE28" s="340"/>
      <c r="BF28" s="341"/>
      <c r="BI28" s="175" t="str">
        <f>BA28</f>
        <v/>
      </c>
      <c r="BJ28" s="175" t="str">
        <f>BA29</f>
        <v/>
      </c>
      <c r="BK28" s="3" t="str">
        <f>IF(BI28="","",BC28)</f>
        <v/>
      </c>
      <c r="BL28" s="2" t="str">
        <f>IF(BJ28="","",BC29)</f>
        <v/>
      </c>
      <c r="BM28" s="2" t="str">
        <f t="shared" ref="BM28" si="8">IF(BI28="","",BC31)</f>
        <v/>
      </c>
    </row>
    <row r="29" spans="1:65" s="4" customFormat="1" ht="18.75" customHeight="1" thickBot="1" x14ac:dyDescent="0.25">
      <c r="A29" s="355"/>
      <c r="B29" s="51">
        <f>EDATE($A$11,4)</f>
        <v>43221</v>
      </c>
      <c r="C29" s="50" t="str">
        <f>IF(ISBLANK(StartDate)=TRUE,"",IF(StartDate&gt;B29,NA,IF(B29&lt;FiveYr,5,IF(B29&lt;TenYr,6,7))))</f>
        <v/>
      </c>
      <c r="D29" s="74" t="s">
        <v>13</v>
      </c>
      <c r="E29" s="166" t="str">
        <f>IF(ISBLANK(StartDate)=TRUE,"",IF(C29=NA,"",IF(AR25=NA,0,BC25)))</f>
        <v/>
      </c>
      <c r="F29" s="114"/>
      <c r="G29" s="116"/>
      <c r="H29" s="116"/>
      <c r="I29" s="116"/>
      <c r="J29" s="115"/>
      <c r="K29" s="115"/>
      <c r="L29" s="116"/>
      <c r="M29" s="116"/>
      <c r="N29" s="116"/>
      <c r="O29" s="116"/>
      <c r="P29" s="116"/>
      <c r="Q29" s="115"/>
      <c r="R29" s="115"/>
      <c r="S29" s="116"/>
      <c r="T29" s="118"/>
      <c r="U29" s="210">
        <f t="shared" si="4"/>
        <v>43235</v>
      </c>
      <c r="V29" s="121" t="str">
        <f>IF(ISBLANK(StartDate)=TRUE,"",IF(StartDate&gt;U29,NA,IF(U29&lt;FiveYr,5,IF(U29&lt;TenYr,6,7))))</f>
        <v/>
      </c>
      <c r="W29" s="76" t="str">
        <f t="shared" si="0"/>
        <v/>
      </c>
      <c r="X29" s="77" t="str">
        <f>IF(V29=NA,NA,IF(C29=NA,0,V29))</f>
        <v/>
      </c>
      <c r="Y29" s="78" t="str">
        <f>IF(ISBLANK(StartDate)=TRUE,"",IF(V29=NA,"",IF(C29=NA,0,E29-W29+X29)))</f>
        <v/>
      </c>
      <c r="Z29" s="301"/>
      <c r="AA29" s="114"/>
      <c r="AB29" s="114"/>
      <c r="AC29" s="114"/>
      <c r="AD29" s="115"/>
      <c r="AE29" s="115"/>
      <c r="AF29" s="116"/>
      <c r="AG29" s="116"/>
      <c r="AH29" s="116"/>
      <c r="AI29" s="116"/>
      <c r="AJ29" s="114"/>
      <c r="AK29" s="115"/>
      <c r="AL29" s="115"/>
      <c r="AM29" s="263"/>
      <c r="AN29" s="116"/>
      <c r="AO29" s="116"/>
      <c r="AP29" s="118"/>
      <c r="AQ29" s="237">
        <f t="shared" si="5"/>
        <v>43251</v>
      </c>
      <c r="AR29" s="291" t="str">
        <f>IF(ISBLANK(StartDate)=TRUE,"",IF(StartDate&gt;AQ29,NA,IF(AQ29&lt;FiveYr,5,IF(AQ29&lt;TenYr,6,7))))</f>
        <v/>
      </c>
      <c r="AS29" s="83" t="str">
        <f t="shared" si="1"/>
        <v/>
      </c>
      <c r="AT29" s="77" t="str">
        <f>IF(ISBLANK(StartDate)=TRUE,"",IF(AR29=NA,NA,IF(V29=NA,0,AR29)))</f>
        <v/>
      </c>
      <c r="AU29" s="198" t="str">
        <f>IF(ISBLANK(StartDate)=TRUE,"",IF(AR29=NA,"",IF(Y29=NA,0,Y29-AS29+AT29)))</f>
        <v/>
      </c>
      <c r="AV29" s="314" t="str">
        <f t="shared" si="2"/>
        <v/>
      </c>
      <c r="AW29" s="77" t="str">
        <f>IF(ISBLANK(StartDate)=TRUE,"",IF(AT29=NA,NA,IF(X29=NA,AT29,AT29+X29)))</f>
        <v/>
      </c>
      <c r="AX29" s="84" t="str">
        <f t="shared" si="3"/>
        <v/>
      </c>
      <c r="AY29" s="85" t="str">
        <f>IF(AX29="","",IF(AX29&gt;360,AX29-360,0))</f>
        <v/>
      </c>
      <c r="AZ29" s="160"/>
      <c r="BA29" s="325" t="str">
        <f>IF(AX29="","",BA25+AY29)</f>
        <v/>
      </c>
      <c r="BB29" s="198" t="str">
        <f>IF(AZ29="","",BB25+AZ29)</f>
        <v/>
      </c>
      <c r="BC29" s="321" t="str">
        <f>IF(ISBLANK(StartDate)=TRUE,"",AX29-AY29)</f>
        <v/>
      </c>
      <c r="BD29" s="87" t="s">
        <v>13</v>
      </c>
      <c r="BE29" s="342"/>
      <c r="BF29" s="343"/>
      <c r="BK29" s="3"/>
      <c r="BL29" s="2"/>
      <c r="BM29" s="2"/>
    </row>
    <row r="30" spans="1:65" s="4" customFormat="1" ht="18.75" customHeight="1" thickBot="1" x14ac:dyDescent="0.25">
      <c r="A30" s="355"/>
      <c r="B30" s="51">
        <f>EDATE($A$11,4)</f>
        <v>43221</v>
      </c>
      <c r="C30" s="50" t="str">
        <f>IF(ISBLANK(StartDate)=TRUE,"",IF(StartDate&gt;B30,NA,IF(StartDate=B30,0,0)))</f>
        <v/>
      </c>
      <c r="D30" s="199" t="s">
        <v>21</v>
      </c>
      <c r="E30" s="205" t="str">
        <f>IF(ISBLANK(StartDate)=TRUE,"",IF(C30=NA,"",IF(AR26=NA,0,AX26)))</f>
        <v/>
      </c>
      <c r="F30" s="218"/>
      <c r="G30" s="213"/>
      <c r="H30" s="213"/>
      <c r="I30" s="213"/>
      <c r="J30" s="214"/>
      <c r="K30" s="214"/>
      <c r="L30" s="218"/>
      <c r="M30" s="213"/>
      <c r="N30" s="213"/>
      <c r="O30" s="213"/>
      <c r="P30" s="213"/>
      <c r="Q30" s="214"/>
      <c r="R30" s="214"/>
      <c r="S30" s="218"/>
      <c r="T30" s="220"/>
      <c r="U30" s="216">
        <f t="shared" si="4"/>
        <v>43235</v>
      </c>
      <c r="V30" s="217" t="str">
        <f>IF(ISBLANK(StartDate)=TRUE,"",IF(StartDate&gt;U30,NA,IF(StartDate=U30,0,0)))</f>
        <v/>
      </c>
      <c r="W30" s="79" t="str">
        <f>IF(ISBLANK(StartDate)=TRUE,"",IF(V30=NA,"",IF(C30=NA,0,SUM(F30:T30))))</f>
        <v/>
      </c>
      <c r="X30" s="80" t="str">
        <f>IF(ISBLANK(StartDate)=TRUE,"",NA)</f>
        <v/>
      </c>
      <c r="Y30" s="81" t="str">
        <f>IF(ISBLANK(StartDate)=TRUE,"",IF(V30=NA,"",IF(C30=NA,0,E30-W30)))</f>
        <v/>
      </c>
      <c r="Z30" s="302"/>
      <c r="AA30" s="218"/>
      <c r="AB30" s="218"/>
      <c r="AC30" s="218"/>
      <c r="AD30" s="214"/>
      <c r="AE30" s="214"/>
      <c r="AF30" s="218"/>
      <c r="AG30" s="213"/>
      <c r="AH30" s="213"/>
      <c r="AI30" s="213"/>
      <c r="AJ30" s="218"/>
      <c r="AK30" s="214"/>
      <c r="AL30" s="214"/>
      <c r="AM30" s="264"/>
      <c r="AN30" s="218"/>
      <c r="AO30" s="213"/>
      <c r="AP30" s="220"/>
      <c r="AQ30" s="237">
        <f t="shared" si="5"/>
        <v>43251</v>
      </c>
      <c r="AR30" s="289" t="str">
        <f>IF(ISBLANK(StartDate)=TRUE,"",IF(StartDate&gt;AQ30,NA,IF(StartDate=AQ30,0,0)))</f>
        <v/>
      </c>
      <c r="AS30" s="88" t="str">
        <f>IF(ISBLANK(StartDate)=TRUE,"",IF(AR30=NA,"",IF(Y30=NA,0,SUM(AA30:AP30))))</f>
        <v/>
      </c>
      <c r="AT30" s="80" t="str">
        <f>IF(ISBLANK(StartDate)=TRUE,"",NA)</f>
        <v/>
      </c>
      <c r="AU30" s="311" t="str">
        <f>IF(ISBLANK(StartDate)=TRUE,"",IF(AR30=NA,"",IF(Y30=NA,0,Y30-AS30)))</f>
        <v/>
      </c>
      <c r="AV30" s="315" t="str">
        <f>IF(ISERROR(AS30+W30)=TRUE,IF(AR30=NA,"",AS30),AS30+W30)</f>
        <v/>
      </c>
      <c r="AW30" s="80" t="str">
        <f>IF(ISBLANK(StartDate)=TRUE,"",NA)</f>
        <v/>
      </c>
      <c r="AX30" s="89"/>
      <c r="AY30" s="221"/>
      <c r="AZ30" s="222"/>
      <c r="BA30" s="223"/>
      <c r="BB30" s="317"/>
      <c r="BC30" s="322" t="str">
        <f>IF(ISBLANK(StartDate)=TRUE,"",AX30)</f>
        <v/>
      </c>
      <c r="BD30" s="92" t="s">
        <v>21</v>
      </c>
      <c r="BE30" s="180"/>
      <c r="BF30" s="181"/>
      <c r="BK30" s="3"/>
      <c r="BL30" s="2"/>
      <c r="BM30" s="2"/>
    </row>
    <row r="31" spans="1:65" s="4" customFormat="1" ht="18.75" customHeight="1" thickBot="1" x14ac:dyDescent="0.25">
      <c r="A31" s="355"/>
      <c r="B31" s="51">
        <f>EDATE($A$11,4)</f>
        <v>43221</v>
      </c>
      <c r="C31" s="14">
        <v>0</v>
      </c>
      <c r="D31" s="200" t="s">
        <v>51</v>
      </c>
      <c r="E31" s="206" t="s">
        <v>53</v>
      </c>
      <c r="F31" s="259"/>
      <c r="G31" s="234"/>
      <c r="H31" s="233"/>
      <c r="I31" s="233"/>
      <c r="J31" s="235"/>
      <c r="K31" s="235"/>
      <c r="L31" s="234"/>
      <c r="M31" s="233"/>
      <c r="N31" s="233"/>
      <c r="O31" s="233"/>
      <c r="P31" s="233"/>
      <c r="Q31" s="235"/>
      <c r="R31" s="235"/>
      <c r="S31" s="234"/>
      <c r="T31" s="243"/>
      <c r="U31" s="237">
        <f t="shared" si="4"/>
        <v>43235</v>
      </c>
      <c r="V31" s="238" t="str">
        <f>IF(ISBLANK(StartDate)=TRUE,"",IF(StartDate&gt;U31,NA,IF(StartDate=U31,0,0)))</f>
        <v/>
      </c>
      <c r="W31" s="239" t="str">
        <f t="shared" si="0"/>
        <v/>
      </c>
      <c r="X31" s="240" t="str">
        <f>V31</f>
        <v/>
      </c>
      <c r="Y31" s="241" t="str">
        <f ca="1">IF(ISBLANK(StartDate)=TRUE,"",IF(V31=NA,"",IF(StartDate&gt;TODAY(),"",X31-W31)))</f>
        <v/>
      </c>
      <c r="Z31" s="303"/>
      <c r="AA31" s="234"/>
      <c r="AB31" s="234"/>
      <c r="AC31" s="233"/>
      <c r="AD31" s="235"/>
      <c r="AE31" s="235"/>
      <c r="AF31" s="234"/>
      <c r="AG31" s="233"/>
      <c r="AH31" s="233"/>
      <c r="AI31" s="233"/>
      <c r="AJ31" s="233"/>
      <c r="AK31" s="235"/>
      <c r="AL31" s="235"/>
      <c r="AM31" s="265"/>
      <c r="AN31" s="234"/>
      <c r="AO31" s="233"/>
      <c r="AP31" s="243"/>
      <c r="AQ31" s="237">
        <f t="shared" si="5"/>
        <v>43251</v>
      </c>
      <c r="AR31" s="289" t="str">
        <f>IF(ISBLANK(StartDate)=TRUE,"",IF(StartDate&gt;AQ31,NA,IF(StartDate=AQ31,0,8)))</f>
        <v/>
      </c>
      <c r="AS31" s="244" t="str">
        <f>IF(ISBLANK(StartDate)=TRUE,"",IF(AR31=NA,"",IF(Y31=NA,0,SUM(AA31:AP31))))</f>
        <v/>
      </c>
      <c r="AT31" s="240" t="str">
        <f>AR31</f>
        <v/>
      </c>
      <c r="AU31" s="312" t="str">
        <f ca="1">IF(ISBLANK(StartDate)=TRUE,"",IF(AR31=NA,"",IF(StartDate&gt;TODAY(),"",AT31-AS31)))</f>
        <v/>
      </c>
      <c r="AV31" s="316" t="str">
        <f t="shared" si="2"/>
        <v/>
      </c>
      <c r="AW31" s="240" t="str">
        <f>IF(ISBLANK(StartDate)=TRUE,"",X31+AT31)</f>
        <v/>
      </c>
      <c r="AX31" s="292" t="s">
        <v>52</v>
      </c>
      <c r="AY31" s="261" t="str">
        <f>AW31</f>
        <v/>
      </c>
      <c r="AZ31" s="246"/>
      <c r="BA31" s="247"/>
      <c r="BB31" s="246"/>
      <c r="BC31" s="323"/>
      <c r="BD31" s="204" t="s">
        <v>51</v>
      </c>
      <c r="BE31" s="350"/>
      <c r="BF31" s="351"/>
      <c r="BK31" s="3"/>
      <c r="BL31" s="2"/>
      <c r="BM31" s="2"/>
    </row>
    <row r="32" spans="1:65" ht="18.75" customHeight="1" thickTop="1" thickBot="1" x14ac:dyDescent="0.25">
      <c r="A32" s="355">
        <f>B32</f>
        <v>43252</v>
      </c>
      <c r="B32" s="51">
        <f>EDATE($A$11,5)</f>
        <v>43252</v>
      </c>
      <c r="C32" s="50" t="str">
        <f>IF(ISBLANK(StartDate)=TRUE,"",IF(StartDate&gt;B32,NA,IF(StartDate=B32,0,5)))</f>
        <v/>
      </c>
      <c r="D32" s="73" t="s">
        <v>12</v>
      </c>
      <c r="E32" s="207" t="str">
        <f>IF(ISBLANK(StartDate)=TRUE,"",IF(C32=NA,"",IF(AR28=NA,0,BC28)))</f>
        <v/>
      </c>
      <c r="F32" s="106"/>
      <c r="G32" s="99"/>
      <c r="H32" s="99"/>
      <c r="I32" s="282"/>
      <c r="J32" s="107"/>
      <c r="K32" s="106"/>
      <c r="L32" s="107"/>
      <c r="M32" s="106"/>
      <c r="N32" s="99"/>
      <c r="O32" s="99"/>
      <c r="P32" s="282"/>
      <c r="Q32" s="107"/>
      <c r="R32" s="106"/>
      <c r="S32" s="107"/>
      <c r="T32" s="108"/>
      <c r="U32" s="208">
        <f t="shared" si="4"/>
        <v>43266</v>
      </c>
      <c r="V32" s="209" t="str">
        <f>IF(ISBLANK(StartDate)=TRUE,"",IF(StartDate&gt;U32,NA,IF(StartDate=U32,0,5)))</f>
        <v/>
      </c>
      <c r="W32" s="90" t="str">
        <f t="shared" si="0"/>
        <v/>
      </c>
      <c r="X32" s="75" t="str">
        <f>IF(V32=NA,NA,IF(C32=NA,0,V32))</f>
        <v/>
      </c>
      <c r="Y32" s="91" t="str">
        <f>IF(ISBLANK(StartDate)=TRUE,"",IF(V32=NA,"",IF(C32=NA,0,E32-W32+X32)))</f>
        <v/>
      </c>
      <c r="Z32" s="304">
        <f>A32+15</f>
        <v>43267</v>
      </c>
      <c r="AA32" s="99"/>
      <c r="AB32" s="99"/>
      <c r="AC32" s="282"/>
      <c r="AD32" s="107"/>
      <c r="AE32" s="106"/>
      <c r="AF32" s="107"/>
      <c r="AG32" s="106"/>
      <c r="AH32" s="99"/>
      <c r="AI32" s="99"/>
      <c r="AJ32" s="282"/>
      <c r="AK32" s="107"/>
      <c r="AL32" s="100"/>
      <c r="AM32" s="100"/>
      <c r="AN32" s="100"/>
      <c r="AO32" s="99"/>
      <c r="AP32" s="113"/>
      <c r="AQ32" s="237">
        <f t="shared" si="5"/>
        <v>43281</v>
      </c>
      <c r="AR32" s="290" t="str">
        <f>IF(ISBLANK(StartDate)=TRUE,"",IF(StartDate&gt;AQ32,NA,IF(StartDate=AQ32,0,5)))</f>
        <v/>
      </c>
      <c r="AS32" s="93" t="str">
        <f t="shared" si="1"/>
        <v/>
      </c>
      <c r="AT32" s="75" t="str">
        <f>IF(ISBLANK(StartDate)=TRUE,"",IF(AR32=NA,NA,IF(V32=NA,0,AR32)))</f>
        <v/>
      </c>
      <c r="AU32" s="310" t="str">
        <f>IF(ISBLANK(StartDate)=TRUE,"",IF(AR32=NA,"",IF(Y32=NA,0,Y32-AS32+AT32)))</f>
        <v/>
      </c>
      <c r="AV32" s="313" t="str">
        <f t="shared" si="2"/>
        <v/>
      </c>
      <c r="AW32" s="75" t="str">
        <f>IF(ISBLANK(StartDate)=TRUE,"",IF(AT32=NA,NA,IF(X32=NA,AT32,AT32+X32)))</f>
        <v/>
      </c>
      <c r="AX32" s="94" t="str">
        <f t="shared" si="3"/>
        <v/>
      </c>
      <c r="AY32" s="95" t="str">
        <f>IF(AX32="","",IF(AX32&gt;720,AX32-720,0))</f>
        <v/>
      </c>
      <c r="AZ32" s="161"/>
      <c r="BA32" s="324" t="str">
        <f>IF(AX32="","",BA28+AY32)</f>
        <v/>
      </c>
      <c r="BB32" s="310" t="str">
        <f>IF(AZ32="","",BB28+AZ32)</f>
        <v/>
      </c>
      <c r="BC32" s="320" t="str">
        <f>IF(ISBLANK(StartDate)=TRUE,"",AX32-AY32)</f>
        <v/>
      </c>
      <c r="BD32" s="96" t="s">
        <v>12</v>
      </c>
      <c r="BE32" s="340"/>
      <c r="BF32" s="341"/>
      <c r="BI32" s="175" t="str">
        <f>BA32</f>
        <v/>
      </c>
      <c r="BJ32" s="175" t="str">
        <f>BA33</f>
        <v/>
      </c>
      <c r="BK32" s="3" t="str">
        <f>IF(BI32="","",BC32)</f>
        <v/>
      </c>
      <c r="BL32" s="2" t="str">
        <f>IF(BJ32="","",BC33)</f>
        <v/>
      </c>
      <c r="BM32" s="2" t="str">
        <f t="shared" ref="BM32" si="9">IF(BI32="","",BC35)</f>
        <v/>
      </c>
    </row>
    <row r="33" spans="1:65" s="4" customFormat="1" ht="18.75" customHeight="1" thickBot="1" x14ac:dyDescent="0.25">
      <c r="A33" s="355"/>
      <c r="B33" s="51">
        <f>EDATE($A$11,5)</f>
        <v>43252</v>
      </c>
      <c r="C33" s="50" t="str">
        <f>IF(ISBLANK(StartDate)=TRUE,"",IF(StartDate&gt;B33,NA,IF(B33&lt;FiveYr,5,IF(B33&lt;TenYr,6,7))))</f>
        <v/>
      </c>
      <c r="D33" s="74" t="s">
        <v>13</v>
      </c>
      <c r="E33" s="166" t="str">
        <f>IF(ISBLANK(StartDate)=TRUE,"",IF(C33=NA,"",IF(AR29=NA,0,BC29)))</f>
        <v/>
      </c>
      <c r="F33" s="114"/>
      <c r="G33" s="115"/>
      <c r="H33" s="115"/>
      <c r="I33" s="116"/>
      <c r="J33" s="116"/>
      <c r="K33" s="114"/>
      <c r="L33" s="116"/>
      <c r="M33" s="114"/>
      <c r="N33" s="115"/>
      <c r="O33" s="115"/>
      <c r="P33" s="116"/>
      <c r="Q33" s="116"/>
      <c r="R33" s="114"/>
      <c r="S33" s="116"/>
      <c r="T33" s="118"/>
      <c r="U33" s="210">
        <f t="shared" si="4"/>
        <v>43266</v>
      </c>
      <c r="V33" s="121" t="str">
        <f>IF(ISBLANK(StartDate)=TRUE,"",IF(StartDate&gt;U33,NA,IF(U33&lt;FiveYr,5,IF(U33&lt;TenYr,6,7))))</f>
        <v/>
      </c>
      <c r="W33" s="76" t="str">
        <f t="shared" si="0"/>
        <v/>
      </c>
      <c r="X33" s="77" t="str">
        <f>IF(V33=NA,NA,IF(C33=NA,0,V33))</f>
        <v/>
      </c>
      <c r="Y33" s="78" t="str">
        <f>IF(ISBLANK(StartDate)=TRUE,"",IF(V33=NA,"",IF(C33=NA,0,E33-W33+X33)))</f>
        <v/>
      </c>
      <c r="Z33" s="301"/>
      <c r="AA33" s="115"/>
      <c r="AB33" s="115"/>
      <c r="AC33" s="116"/>
      <c r="AD33" s="116"/>
      <c r="AE33" s="114"/>
      <c r="AF33" s="116"/>
      <c r="AG33" s="114"/>
      <c r="AH33" s="115"/>
      <c r="AI33" s="115"/>
      <c r="AJ33" s="116"/>
      <c r="AK33" s="116"/>
      <c r="AL33" s="116"/>
      <c r="AM33" s="116"/>
      <c r="AN33" s="116"/>
      <c r="AO33" s="115"/>
      <c r="AP33" s="125"/>
      <c r="AQ33" s="237">
        <f t="shared" si="5"/>
        <v>43281</v>
      </c>
      <c r="AR33" s="291" t="str">
        <f>IF(ISBLANK(StartDate)=TRUE,"",IF(StartDate&gt;AQ33,NA,IF(AQ33&lt;FiveYr,5,IF(AQ33&lt;TenYr,6,7))))</f>
        <v/>
      </c>
      <c r="AS33" s="83" t="str">
        <f t="shared" si="1"/>
        <v/>
      </c>
      <c r="AT33" s="77" t="str">
        <f>IF(ISBLANK(StartDate)=TRUE,"",IF(AR33=NA,NA,IF(V33=NA,0,AR33)))</f>
        <v/>
      </c>
      <c r="AU33" s="198" t="str">
        <f>IF(ISBLANK(StartDate)=TRUE,"",IF(AR33=NA,"",IF(Y33=NA,0,Y33-AS33+AT33)))</f>
        <v/>
      </c>
      <c r="AV33" s="314" t="str">
        <f t="shared" si="2"/>
        <v/>
      </c>
      <c r="AW33" s="77" t="str">
        <f>IF(ISBLANK(StartDate)=TRUE,"",IF(AT33=NA,NA,IF(X33=NA,AT33,AT33+X33)))</f>
        <v/>
      </c>
      <c r="AX33" s="84" t="str">
        <f t="shared" si="3"/>
        <v/>
      </c>
      <c r="AY33" s="85" t="str">
        <f>IF(AX33="","",IF(AX33&gt;360,AX33-360,0))</f>
        <v/>
      </c>
      <c r="AZ33" s="160"/>
      <c r="BA33" s="325" t="str">
        <f>IF(AX33="","",BA29+AY33)</f>
        <v/>
      </c>
      <c r="BB33" s="198" t="str">
        <f>IF(AZ33="","",BB29+AZ33)</f>
        <v/>
      </c>
      <c r="BC33" s="321" t="str">
        <f>IF(ISBLANK(StartDate)=TRUE,"",AX33-AY33)</f>
        <v/>
      </c>
      <c r="BD33" s="87" t="s">
        <v>13</v>
      </c>
      <c r="BE33" s="342"/>
      <c r="BF33" s="343"/>
      <c r="BK33" s="3"/>
      <c r="BL33" s="2"/>
      <c r="BM33" s="2"/>
    </row>
    <row r="34" spans="1:65" s="4" customFormat="1" ht="18.75" customHeight="1" thickBot="1" x14ac:dyDescent="0.25">
      <c r="A34" s="355"/>
      <c r="B34" s="51">
        <f>EDATE($A$11,5)</f>
        <v>43252</v>
      </c>
      <c r="C34" s="50" t="str">
        <f>IF(ISBLANK(StartDate)=TRUE,"",IF(StartDate&gt;B34,NA,IF(StartDate=B34,0,0)))</f>
        <v/>
      </c>
      <c r="D34" s="199" t="s">
        <v>21</v>
      </c>
      <c r="E34" s="205" t="str">
        <f>IF(ISBLANK(StartDate)=TRUE,"",IF(C34=NA,"",IF(AR30=NA,0,AX30)))</f>
        <v/>
      </c>
      <c r="F34" s="218"/>
      <c r="G34" s="214"/>
      <c r="H34" s="214"/>
      <c r="I34" s="218"/>
      <c r="J34" s="213"/>
      <c r="K34" s="218"/>
      <c r="L34" s="213"/>
      <c r="M34" s="218"/>
      <c r="N34" s="214"/>
      <c r="O34" s="214"/>
      <c r="P34" s="218"/>
      <c r="Q34" s="213"/>
      <c r="R34" s="218"/>
      <c r="S34" s="213"/>
      <c r="T34" s="220"/>
      <c r="U34" s="216">
        <f t="shared" si="4"/>
        <v>43266</v>
      </c>
      <c r="V34" s="217" t="str">
        <f>IF(ISBLANK(StartDate)=TRUE,"",IF(StartDate&gt;U34,NA,IF(StartDate=U34,0,0)))</f>
        <v/>
      </c>
      <c r="W34" s="79" t="str">
        <f>IF(ISBLANK(StartDate)=TRUE,"",IF(V34=NA,"",IF(C34=NA,0,SUM(F34:T34))))</f>
        <v/>
      </c>
      <c r="X34" s="80" t="str">
        <f>IF(ISBLANK(StartDate)=TRUE,"",NA)</f>
        <v/>
      </c>
      <c r="Y34" s="81" t="str">
        <f>IF(ISBLANK(StartDate)=TRUE,"",IF(V34=NA,"",IF(C34=NA,0,E34-W34)))</f>
        <v/>
      </c>
      <c r="Z34" s="302"/>
      <c r="AA34" s="214"/>
      <c r="AB34" s="214"/>
      <c r="AC34" s="218"/>
      <c r="AD34" s="213"/>
      <c r="AE34" s="218"/>
      <c r="AF34" s="213"/>
      <c r="AG34" s="218"/>
      <c r="AH34" s="214"/>
      <c r="AI34" s="214"/>
      <c r="AJ34" s="218"/>
      <c r="AK34" s="213"/>
      <c r="AL34" s="213"/>
      <c r="AM34" s="213"/>
      <c r="AN34" s="213"/>
      <c r="AO34" s="214"/>
      <c r="AP34" s="228"/>
      <c r="AQ34" s="237">
        <f t="shared" si="5"/>
        <v>43281</v>
      </c>
      <c r="AR34" s="289" t="str">
        <f>IF(ISBLANK(StartDate)=TRUE,"",IF(StartDate&gt;AQ34,NA,IF(StartDate=AQ34,0,0)))</f>
        <v/>
      </c>
      <c r="AS34" s="88" t="str">
        <f>IF(ISBLANK(StartDate)=TRUE,"",IF(AR34=NA,"",IF(Y34=NA,0,SUM(AA34:AP34))))</f>
        <v/>
      </c>
      <c r="AT34" s="80" t="str">
        <f>IF(ISBLANK(StartDate)=TRUE,"",NA)</f>
        <v/>
      </c>
      <c r="AU34" s="311" t="str">
        <f>IF(ISBLANK(StartDate)=TRUE,"",IF(AR34=NA,"",IF(Y34=NA,0,Y34-AS34)))</f>
        <v/>
      </c>
      <c r="AV34" s="315" t="str">
        <f>IF(ISERROR(AS34+W34)=TRUE,IF(AR34=NA,"",AS34),AS34+W34)</f>
        <v/>
      </c>
      <c r="AW34" s="80" t="str">
        <f>IF(ISBLANK(StartDate)=TRUE,"",NA)</f>
        <v/>
      </c>
      <c r="AX34" s="89"/>
      <c r="AY34" s="221"/>
      <c r="AZ34" s="222"/>
      <c r="BA34" s="223"/>
      <c r="BB34" s="317"/>
      <c r="BC34" s="322" t="str">
        <f>IF(ISBLANK(StartDate)=TRUE,"",AX34)</f>
        <v/>
      </c>
      <c r="BD34" s="92" t="s">
        <v>21</v>
      </c>
      <c r="BE34" s="180"/>
      <c r="BF34" s="181"/>
      <c r="BK34" s="3"/>
      <c r="BL34" s="2"/>
      <c r="BM34" s="2"/>
    </row>
    <row r="35" spans="1:65" s="4" customFormat="1" ht="18.75" customHeight="1" thickBot="1" x14ac:dyDescent="0.25">
      <c r="A35" s="355"/>
      <c r="B35" s="51">
        <f>EDATE($A$11,5)</f>
        <v>43252</v>
      </c>
      <c r="C35" s="14">
        <v>0</v>
      </c>
      <c r="D35" s="200" t="s">
        <v>51</v>
      </c>
      <c r="E35" s="206" t="s">
        <v>53</v>
      </c>
      <c r="F35" s="259"/>
      <c r="G35" s="235"/>
      <c r="H35" s="235"/>
      <c r="I35" s="234"/>
      <c r="J35" s="233"/>
      <c r="K35" s="233"/>
      <c r="L35" s="233"/>
      <c r="M35" s="233"/>
      <c r="N35" s="235"/>
      <c r="O35" s="235"/>
      <c r="P35" s="234"/>
      <c r="Q35" s="233"/>
      <c r="R35" s="233"/>
      <c r="S35" s="233"/>
      <c r="T35" s="243"/>
      <c r="U35" s="237">
        <f t="shared" si="4"/>
        <v>43266</v>
      </c>
      <c r="V35" s="238" t="str">
        <f>IF(ISBLANK(StartDate)=TRUE,"",IF(StartDate&gt;U35,NA,IF(StartDate=U35,0,0)))</f>
        <v/>
      </c>
      <c r="W35" s="239" t="str">
        <f t="shared" si="0"/>
        <v/>
      </c>
      <c r="X35" s="240" t="str">
        <f>V35</f>
        <v/>
      </c>
      <c r="Y35" s="241" t="str">
        <f ca="1">IF(ISBLANK(StartDate)=TRUE,"",IF(V35=NA,"",IF(StartDate&gt;TODAY(),"",X35-W35)))</f>
        <v/>
      </c>
      <c r="Z35" s="303"/>
      <c r="AA35" s="235"/>
      <c r="AB35" s="235"/>
      <c r="AC35" s="234"/>
      <c r="AD35" s="233"/>
      <c r="AE35" s="233"/>
      <c r="AF35" s="233"/>
      <c r="AG35" s="234"/>
      <c r="AH35" s="235"/>
      <c r="AI35" s="235"/>
      <c r="AJ35" s="234"/>
      <c r="AK35" s="233"/>
      <c r="AL35" s="233"/>
      <c r="AM35" s="233"/>
      <c r="AN35" s="233"/>
      <c r="AO35" s="235"/>
      <c r="AP35" s="258"/>
      <c r="AQ35" s="237">
        <f t="shared" si="5"/>
        <v>43281</v>
      </c>
      <c r="AR35" s="289" t="str">
        <f>IF(ISBLANK(StartDate)=TRUE,"",IF(StartDate&gt;AQ35,NA,IF(StartDate=AQ35,0,0)))</f>
        <v/>
      </c>
      <c r="AS35" s="244" t="str">
        <f>IF(ISBLANK(StartDate)=TRUE,"",IF(AR35=NA,"",IF(Y35=NA,0,SUM(AA35:AP35))))</f>
        <v/>
      </c>
      <c r="AT35" s="240" t="str">
        <f>AR35</f>
        <v/>
      </c>
      <c r="AU35" s="312" t="str">
        <f ca="1">IF(ISBLANK(StartDate)=TRUE,"",IF(AR35=NA,"",IF(StartDate&gt;TODAY(),"",AT35-AS35)))</f>
        <v/>
      </c>
      <c r="AV35" s="316" t="str">
        <f t="shared" si="2"/>
        <v/>
      </c>
      <c r="AW35" s="240" t="str">
        <f>IF(ISBLANK(StartDate)=TRUE,"",X35+AT35)</f>
        <v/>
      </c>
      <c r="AX35" s="292" t="s">
        <v>52</v>
      </c>
      <c r="AY35" s="261" t="str">
        <f>AW35</f>
        <v/>
      </c>
      <c r="AZ35" s="246"/>
      <c r="BA35" s="247"/>
      <c r="BB35" s="246"/>
      <c r="BC35" s="323"/>
      <c r="BD35" s="204" t="s">
        <v>51</v>
      </c>
      <c r="BE35" s="350"/>
      <c r="BF35" s="351"/>
      <c r="BK35" s="3"/>
      <c r="BL35" s="2"/>
      <c r="BM35" s="2"/>
    </row>
    <row r="36" spans="1:65" ht="18.75" customHeight="1" thickTop="1" thickBot="1" x14ac:dyDescent="0.25">
      <c r="A36" s="355">
        <f>B36</f>
        <v>43282</v>
      </c>
      <c r="B36" s="51">
        <f>EDATE($A$11,6)</f>
        <v>43282</v>
      </c>
      <c r="C36" s="50" t="str">
        <f>IF(ISBLANK(StartDate)=TRUE,"",IF(StartDate&gt;B36,NA,IF(StartDate=B36,0,5)))</f>
        <v/>
      </c>
      <c r="D36" s="73" t="s">
        <v>12</v>
      </c>
      <c r="E36" s="207" t="str">
        <f>IF(ISBLANK(StartDate)=TRUE,"",IF(C36=NA,"",IF(AR32=NA,0,BC32)))</f>
        <v/>
      </c>
      <c r="F36" s="163"/>
      <c r="G36" s="282"/>
      <c r="H36" s="100"/>
      <c r="I36" s="266"/>
      <c r="J36" s="100"/>
      <c r="K36" s="100"/>
      <c r="L36" s="99"/>
      <c r="M36" s="99"/>
      <c r="N36" s="282"/>
      <c r="O36" s="100"/>
      <c r="P36" s="100"/>
      <c r="Q36" s="100"/>
      <c r="R36" s="100"/>
      <c r="S36" s="99"/>
      <c r="T36" s="101"/>
      <c r="U36" s="208">
        <f t="shared" si="4"/>
        <v>43296</v>
      </c>
      <c r="V36" s="209" t="str">
        <f>IF(ISBLANK(StartDate)=TRUE,"",IF(StartDate&gt;U36,NA,IF(StartDate=U36,0,5)))</f>
        <v/>
      </c>
      <c r="W36" s="90" t="str">
        <f t="shared" si="0"/>
        <v/>
      </c>
      <c r="X36" s="75" t="str">
        <f>IF(V36=NA,NA,IF(C36=NA,0,V36))</f>
        <v/>
      </c>
      <c r="Y36" s="91" t="str">
        <f>IF(ISBLANK(StartDate)=TRUE,"",IF(V36=NA,"",IF(C36=NA,0,E36-W36+X36)))</f>
        <v/>
      </c>
      <c r="Z36" s="304">
        <f>A36+15</f>
        <v>43297</v>
      </c>
      <c r="AA36" s="282"/>
      <c r="AB36" s="107"/>
      <c r="AC36" s="106"/>
      <c r="AD36" s="107"/>
      <c r="AE36" s="106"/>
      <c r="AF36" s="99"/>
      <c r="AG36" s="99"/>
      <c r="AH36" s="282"/>
      <c r="AI36" s="107"/>
      <c r="AJ36" s="107"/>
      <c r="AK36" s="107"/>
      <c r="AL36" s="106"/>
      <c r="AM36" s="99"/>
      <c r="AN36" s="112"/>
      <c r="AO36" s="282"/>
      <c r="AP36" s="108"/>
      <c r="AQ36" s="237">
        <f t="shared" si="5"/>
        <v>43312</v>
      </c>
      <c r="AR36" s="290" t="str">
        <f>IF(ISBLANK(StartDate)=TRUE,"",IF(StartDate&gt;AQ36,NA,IF(StartDate=AQ36,0,5)))</f>
        <v/>
      </c>
      <c r="AS36" s="93" t="str">
        <f t="shared" si="1"/>
        <v/>
      </c>
      <c r="AT36" s="75" t="str">
        <f>IF(ISBLANK(StartDate)=TRUE,"",IF(AR36=NA,NA,IF(V36=NA,0,AR36)))</f>
        <v/>
      </c>
      <c r="AU36" s="310" t="str">
        <f>IF(ISBLANK(StartDate)=TRUE,"",IF(AR36=NA,"",IF(Y36=NA,0,Y36-AS36+AT36)))</f>
        <v/>
      </c>
      <c r="AV36" s="313" t="str">
        <f t="shared" si="2"/>
        <v/>
      </c>
      <c r="AW36" s="75" t="str">
        <f>IF(ISBLANK(StartDate)=TRUE,"",IF(AT36=NA,NA,IF(X36=NA,AT36,AT36+X36)))</f>
        <v/>
      </c>
      <c r="AX36" s="94" t="str">
        <f t="shared" si="3"/>
        <v/>
      </c>
      <c r="AY36" s="95" t="str">
        <f>IF(AX36="","",IF(AX36&gt;720,AX36-720,0))</f>
        <v/>
      </c>
      <c r="AZ36" s="161"/>
      <c r="BA36" s="324" t="str">
        <f>IF(AX36="","",BA32+AY36)</f>
        <v/>
      </c>
      <c r="BB36" s="310" t="str">
        <f>IF(AZ36="","",BB32+AZ36)</f>
        <v/>
      </c>
      <c r="BC36" s="320" t="str">
        <f>IF(ISBLANK(StartDate)=TRUE,"",AX36-AY36)</f>
        <v/>
      </c>
      <c r="BD36" s="96" t="s">
        <v>12</v>
      </c>
      <c r="BE36" s="340"/>
      <c r="BF36" s="341"/>
      <c r="BI36" s="175" t="str">
        <f>BA36</f>
        <v/>
      </c>
      <c r="BJ36" s="175" t="str">
        <f>BA37</f>
        <v/>
      </c>
      <c r="BK36" s="3" t="str">
        <f>IF(BI36="","",BC36)</f>
        <v/>
      </c>
      <c r="BL36" s="2" t="str">
        <f>IF(BJ36="","",BC37)</f>
        <v/>
      </c>
      <c r="BM36" s="2" t="str">
        <f t="shared" ref="BM36" si="10">IF(BI36="","",BC39)</f>
        <v/>
      </c>
    </row>
    <row r="37" spans="1:65" s="4" customFormat="1" ht="18.75" customHeight="1" thickBot="1" x14ac:dyDescent="0.25">
      <c r="A37" s="355"/>
      <c r="B37" s="51">
        <f>EDATE($A$11,6)</f>
        <v>43282</v>
      </c>
      <c r="C37" s="50" t="str">
        <f>IF(ISBLANK(StartDate)=TRUE,"",IF(StartDate&gt;B37,NA,IF(B37&lt;FiveYr,5,IF(B37&lt;TenYr,6,7))))</f>
        <v/>
      </c>
      <c r="D37" s="74" t="s">
        <v>13</v>
      </c>
      <c r="E37" s="166" t="str">
        <f>IF(ISBLANK(StartDate)=TRUE,"",IF(C37=NA,"",IF(AR33=NA,0,BC33)))</f>
        <v/>
      </c>
      <c r="F37" s="164"/>
      <c r="G37" s="116"/>
      <c r="H37" s="116"/>
      <c r="I37" s="263"/>
      <c r="J37" s="116"/>
      <c r="K37" s="116"/>
      <c r="L37" s="115"/>
      <c r="M37" s="115"/>
      <c r="N37" s="116"/>
      <c r="O37" s="116"/>
      <c r="P37" s="116"/>
      <c r="Q37" s="116"/>
      <c r="R37" s="116"/>
      <c r="S37" s="115"/>
      <c r="T37" s="120"/>
      <c r="U37" s="210">
        <f t="shared" si="4"/>
        <v>43296</v>
      </c>
      <c r="V37" s="121" t="str">
        <f>IF(ISBLANK(StartDate)=TRUE,"",IF(StartDate&gt;U37,NA,IF(U37&lt;FiveYr,5,IF(U37&lt;TenYr,6,7))))</f>
        <v/>
      </c>
      <c r="W37" s="76" t="str">
        <f t="shared" si="0"/>
        <v/>
      </c>
      <c r="X37" s="77" t="str">
        <f>IF(V37=NA,NA,IF(C37=NA,0,V37))</f>
        <v/>
      </c>
      <c r="Y37" s="78" t="str">
        <f>IF(ISBLANK(StartDate)=TRUE,"",IF(V37=NA,"",IF(C37=NA,0,E37-W37+X37)))</f>
        <v/>
      </c>
      <c r="Z37" s="301"/>
      <c r="AA37" s="116"/>
      <c r="AB37" s="116"/>
      <c r="AC37" s="114"/>
      <c r="AD37" s="116"/>
      <c r="AE37" s="114"/>
      <c r="AF37" s="115"/>
      <c r="AG37" s="115"/>
      <c r="AH37" s="116"/>
      <c r="AI37" s="116"/>
      <c r="AJ37" s="116"/>
      <c r="AK37" s="116"/>
      <c r="AL37" s="114"/>
      <c r="AM37" s="115"/>
      <c r="AN37" s="124"/>
      <c r="AO37" s="116"/>
      <c r="AP37" s="118"/>
      <c r="AQ37" s="237">
        <f t="shared" si="5"/>
        <v>43312</v>
      </c>
      <c r="AR37" s="291" t="str">
        <f>IF(ISBLANK(StartDate)=TRUE,"",IF(StartDate&gt;AQ37,NA,IF(AQ37&lt;FiveYr,5,IF(AQ37&lt;TenYr,6,7))))</f>
        <v/>
      </c>
      <c r="AS37" s="83" t="str">
        <f t="shared" si="1"/>
        <v/>
      </c>
      <c r="AT37" s="77" t="str">
        <f>IF(ISBLANK(StartDate)=TRUE,"",IF(AR37=NA,NA,IF(V37=NA,0,AR37)))</f>
        <v/>
      </c>
      <c r="AU37" s="198" t="str">
        <f>IF(ISBLANK(StartDate)=TRUE,"",IF(AR37=NA,"",IF(Y37=NA,0,Y37-AS37+AT37)))</f>
        <v/>
      </c>
      <c r="AV37" s="314" t="str">
        <f t="shared" si="2"/>
        <v/>
      </c>
      <c r="AW37" s="77" t="str">
        <f>IF(ISBLANK(StartDate)=TRUE,"",IF(AT37=NA,NA,IF(X37=NA,AT37,AT37+X37)))</f>
        <v/>
      </c>
      <c r="AX37" s="84" t="str">
        <f t="shared" si="3"/>
        <v/>
      </c>
      <c r="AY37" s="85" t="str">
        <f>IF(AX37="","",IF(AX37&gt;360,AX37-360,0))</f>
        <v/>
      </c>
      <c r="AZ37" s="160"/>
      <c r="BA37" s="325" t="str">
        <f>IF(AX37="","",BA33+AY37)</f>
        <v/>
      </c>
      <c r="BB37" s="198" t="str">
        <f>IF(AZ37="","",BB33+AZ37)</f>
        <v/>
      </c>
      <c r="BC37" s="321" t="str">
        <f>IF(ISBLANK(StartDate)=TRUE,"",AX37-AY37)</f>
        <v/>
      </c>
      <c r="BD37" s="87" t="s">
        <v>13</v>
      </c>
      <c r="BE37" s="342"/>
      <c r="BF37" s="343"/>
      <c r="BK37" s="3"/>
      <c r="BL37" s="2"/>
      <c r="BM37" s="2"/>
    </row>
    <row r="38" spans="1:65" s="4" customFormat="1" ht="18.75" customHeight="1" thickBot="1" x14ac:dyDescent="0.25">
      <c r="A38" s="355"/>
      <c r="B38" s="51">
        <f>EDATE($A$11,6)</f>
        <v>43282</v>
      </c>
      <c r="C38" s="50" t="str">
        <f>IF(ISBLANK(StartDate)=TRUE,"",IF(StartDate&gt;B38,NA,IF(StartDate=B38,0,0)))</f>
        <v/>
      </c>
      <c r="D38" s="199" t="s">
        <v>21</v>
      </c>
      <c r="E38" s="205" t="str">
        <f>IF(ISBLANK(StartDate)=TRUE,"",IF(C38=NA,"",IF(AR34=NA,0,AX34)))</f>
        <v/>
      </c>
      <c r="F38" s="212"/>
      <c r="G38" s="218"/>
      <c r="H38" s="213"/>
      <c r="I38" s="264"/>
      <c r="J38" s="213"/>
      <c r="K38" s="213"/>
      <c r="L38" s="214"/>
      <c r="M38" s="214"/>
      <c r="N38" s="218"/>
      <c r="O38" s="213"/>
      <c r="P38" s="213"/>
      <c r="Q38" s="213"/>
      <c r="R38" s="213"/>
      <c r="S38" s="214"/>
      <c r="T38" s="215"/>
      <c r="U38" s="216">
        <f t="shared" si="4"/>
        <v>43296</v>
      </c>
      <c r="V38" s="217" t="str">
        <f>IF(ISBLANK(StartDate)=TRUE,"",IF(StartDate&gt;U38,NA,IF(StartDate=U38,0,0)))</f>
        <v/>
      </c>
      <c r="W38" s="79" t="str">
        <f>IF(ISBLANK(StartDate)=TRUE,"",IF(V38=NA,"",IF(C38=NA,0,SUM(F38:T38))))</f>
        <v/>
      </c>
      <c r="X38" s="80" t="str">
        <f>IF(ISBLANK(StartDate)=TRUE,"",NA)</f>
        <v/>
      </c>
      <c r="Y38" s="81" t="str">
        <f>IF(ISBLANK(StartDate)=TRUE,"",IF(V38=NA,"",IF(C38=NA,0,E38-W38)))</f>
        <v/>
      </c>
      <c r="Z38" s="302"/>
      <c r="AA38" s="218"/>
      <c r="AB38" s="213"/>
      <c r="AC38" s="218"/>
      <c r="AD38" s="213"/>
      <c r="AE38" s="218"/>
      <c r="AF38" s="214"/>
      <c r="AG38" s="214"/>
      <c r="AH38" s="218"/>
      <c r="AI38" s="213"/>
      <c r="AJ38" s="213"/>
      <c r="AK38" s="213"/>
      <c r="AL38" s="218"/>
      <c r="AM38" s="214"/>
      <c r="AN38" s="229"/>
      <c r="AO38" s="218"/>
      <c r="AP38" s="220"/>
      <c r="AQ38" s="237">
        <f t="shared" si="5"/>
        <v>43312</v>
      </c>
      <c r="AR38" s="289" t="str">
        <f>IF(ISBLANK(StartDate)=TRUE,"",IF(StartDate&gt;AQ38,NA,IF(StartDate=AQ38,0,0)))</f>
        <v/>
      </c>
      <c r="AS38" s="88" t="str">
        <f>IF(ISBLANK(StartDate)=TRUE,"",IF(AR38=NA,"",IF(Y38=NA,0,SUM(AA38:AP38))))</f>
        <v/>
      </c>
      <c r="AT38" s="80" t="str">
        <f>IF(ISBLANK(StartDate)=TRUE,"",NA)</f>
        <v/>
      </c>
      <c r="AU38" s="311" t="str">
        <f>IF(ISBLANK(StartDate)=TRUE,"",IF(AR38=NA,"",IF(Y38=NA,0,Y38-AS38)))</f>
        <v/>
      </c>
      <c r="AV38" s="315" t="str">
        <f t="shared" si="2"/>
        <v/>
      </c>
      <c r="AW38" s="80" t="str">
        <f>IF(ISBLANK(StartDate)=TRUE,"",NA)</f>
        <v/>
      </c>
      <c r="AX38" s="89"/>
      <c r="AY38" s="221"/>
      <c r="AZ38" s="222"/>
      <c r="BA38" s="223"/>
      <c r="BB38" s="317"/>
      <c r="BC38" s="322" t="str">
        <f>IF(ISBLANK(StartDate)=TRUE,"",AX38)</f>
        <v/>
      </c>
      <c r="BD38" s="92" t="s">
        <v>21</v>
      </c>
      <c r="BE38" s="180"/>
      <c r="BF38" s="181"/>
      <c r="BK38" s="3"/>
      <c r="BL38" s="2"/>
      <c r="BM38" s="2"/>
    </row>
    <row r="39" spans="1:65" s="4" customFormat="1" ht="18.75" customHeight="1" thickBot="1" x14ac:dyDescent="0.25">
      <c r="A39" s="355"/>
      <c r="B39" s="51">
        <f>EDATE($A$11,6)</f>
        <v>43282</v>
      </c>
      <c r="C39" s="14">
        <v>0</v>
      </c>
      <c r="D39" s="200" t="s">
        <v>51</v>
      </c>
      <c r="E39" s="206" t="s">
        <v>53</v>
      </c>
      <c r="F39" s="232"/>
      <c r="G39" s="234"/>
      <c r="H39" s="234"/>
      <c r="I39" s="265"/>
      <c r="J39" s="233"/>
      <c r="K39" s="233"/>
      <c r="L39" s="235"/>
      <c r="M39" s="235"/>
      <c r="N39" s="234"/>
      <c r="O39" s="233"/>
      <c r="P39" s="233"/>
      <c r="Q39" s="233"/>
      <c r="R39" s="233"/>
      <c r="S39" s="235"/>
      <c r="T39" s="236"/>
      <c r="U39" s="237">
        <f t="shared" si="4"/>
        <v>43296</v>
      </c>
      <c r="V39" s="238" t="str">
        <f>IF(ISBLANK(StartDate)=TRUE,"",IF(StartDate&gt;U39,NA,IF(StartDate=U39,0,8)))</f>
        <v/>
      </c>
      <c r="W39" s="239" t="str">
        <f t="shared" si="0"/>
        <v/>
      </c>
      <c r="X39" s="240" t="str">
        <f>V39</f>
        <v/>
      </c>
      <c r="Y39" s="241" t="str">
        <f ca="1">IF(ISBLANK(StartDate)=TRUE,"",IF(V39=NA,"",IF(StartDate&gt;TODAY(),"",X39-W39)))</f>
        <v/>
      </c>
      <c r="Z39" s="303"/>
      <c r="AA39" s="234"/>
      <c r="AB39" s="233"/>
      <c r="AC39" s="233"/>
      <c r="AD39" s="233"/>
      <c r="AE39" s="233"/>
      <c r="AF39" s="235"/>
      <c r="AG39" s="235"/>
      <c r="AH39" s="234"/>
      <c r="AI39" s="233"/>
      <c r="AJ39" s="233"/>
      <c r="AK39" s="233"/>
      <c r="AL39" s="233"/>
      <c r="AM39" s="235"/>
      <c r="AN39" s="260"/>
      <c r="AO39" s="234"/>
      <c r="AP39" s="243"/>
      <c r="AQ39" s="237">
        <f t="shared" si="5"/>
        <v>43312</v>
      </c>
      <c r="AR39" s="289" t="str">
        <f>IF(ISBLANK(StartDate)=TRUE,"",IF(StartDate&gt;AQ39,NA,IF(StartDate=AQ39,0,0)))</f>
        <v/>
      </c>
      <c r="AS39" s="244" t="str">
        <f>IF(ISBLANK(StartDate)=TRUE,"",IF(AR39=NA,"",IF(Y39=NA,0,SUM(AA39:AP39))))</f>
        <v/>
      </c>
      <c r="AT39" s="240" t="str">
        <f>AR39</f>
        <v/>
      </c>
      <c r="AU39" s="312" t="str">
        <f ca="1">IF(ISBLANK(StartDate)=TRUE,"",IF(AR39=NA,"",IF(StartDate&gt;TODAY(),"",AT39-AS39)))</f>
        <v/>
      </c>
      <c r="AV39" s="316" t="str">
        <f t="shared" si="2"/>
        <v/>
      </c>
      <c r="AW39" s="240" t="str">
        <f>IF(ISBLANK(StartDate)=TRUE,"",X39+AT39)</f>
        <v/>
      </c>
      <c r="AX39" s="292" t="s">
        <v>52</v>
      </c>
      <c r="AY39" s="261" t="str">
        <f>AW39</f>
        <v/>
      </c>
      <c r="AZ39" s="246"/>
      <c r="BA39" s="247"/>
      <c r="BB39" s="246"/>
      <c r="BC39" s="323"/>
      <c r="BD39" s="204" t="s">
        <v>51</v>
      </c>
      <c r="BE39" s="350"/>
      <c r="BF39" s="351"/>
      <c r="BK39" s="3"/>
      <c r="BL39" s="2"/>
      <c r="BM39" s="2"/>
    </row>
    <row r="40" spans="1:65" ht="18.75" customHeight="1" thickTop="1" thickBot="1" x14ac:dyDescent="0.25">
      <c r="A40" s="355">
        <f>B40</f>
        <v>43313</v>
      </c>
      <c r="B40" s="51">
        <f>EDATE($A$11,7)</f>
        <v>43313</v>
      </c>
      <c r="C40" s="50" t="str">
        <f>IF(ISBLANK(StartDate)=TRUE,"",IF(StartDate&gt;B40,NA,IF(StartDate=B40,0,5)))</f>
        <v/>
      </c>
      <c r="D40" s="73" t="s">
        <v>12</v>
      </c>
      <c r="E40" s="207" t="str">
        <f>IF(ISBLANK(StartDate)=TRUE,"",IF(C40=NA,"",IF(AR36=NA,0,BC36)))</f>
        <v/>
      </c>
      <c r="F40" s="111"/>
      <c r="G40" s="100"/>
      <c r="H40" s="100"/>
      <c r="I40" s="99"/>
      <c r="J40" s="99"/>
      <c r="K40" s="282"/>
      <c r="L40" s="100"/>
      <c r="M40" s="100"/>
      <c r="N40" s="100"/>
      <c r="O40" s="100"/>
      <c r="P40" s="99"/>
      <c r="Q40" s="99"/>
      <c r="R40" s="282"/>
      <c r="S40" s="107"/>
      <c r="T40" s="105"/>
      <c r="U40" s="208">
        <f t="shared" si="4"/>
        <v>43327</v>
      </c>
      <c r="V40" s="209" t="str">
        <f>IF(ISBLANK(StartDate)=TRUE,"",IF(StartDate&gt;U40,NA,IF(StartDate=U40,0,5)))</f>
        <v/>
      </c>
      <c r="W40" s="90" t="str">
        <f t="shared" si="0"/>
        <v/>
      </c>
      <c r="X40" s="75" t="str">
        <f>IF(V40=NA,NA,IF(C40=NA,0,V40))</f>
        <v/>
      </c>
      <c r="Y40" s="91" t="str">
        <f>IF(ISBLANK(StartDate)=TRUE,"",IF(V40=NA,"",IF(C40=NA,0,E40-W40+X40)))</f>
        <v/>
      </c>
      <c r="Z40" s="304">
        <f>A40+15</f>
        <v>43328</v>
      </c>
      <c r="AA40" s="106"/>
      <c r="AB40" s="106"/>
      <c r="AC40" s="99"/>
      <c r="AD40" s="99"/>
      <c r="AE40" s="282"/>
      <c r="AF40" s="100"/>
      <c r="AG40" s="100"/>
      <c r="AH40" s="107"/>
      <c r="AI40" s="106"/>
      <c r="AJ40" s="99"/>
      <c r="AK40" s="99"/>
      <c r="AL40" s="282"/>
      <c r="AM40" s="100"/>
      <c r="AN40" s="100"/>
      <c r="AO40" s="100"/>
      <c r="AP40" s="108"/>
      <c r="AQ40" s="237">
        <f t="shared" si="5"/>
        <v>43343</v>
      </c>
      <c r="AR40" s="290" t="str">
        <f>IF(ISBLANK(StartDate)=TRUE,"",IF(StartDate&gt;AQ40,NA,IF(StartDate=AQ40,0,5)))</f>
        <v/>
      </c>
      <c r="AS40" s="93" t="str">
        <f t="shared" si="1"/>
        <v/>
      </c>
      <c r="AT40" s="75" t="str">
        <f>IF(ISBLANK(StartDate)=TRUE,"",IF(AR40=NA,NA,IF(V40=NA,0,AR40)))</f>
        <v/>
      </c>
      <c r="AU40" s="310" t="str">
        <f>IF(ISBLANK(StartDate)=TRUE,"",IF(AR40=NA,"",IF(Y40=NA,0,Y40-AS40+AT40)))</f>
        <v/>
      </c>
      <c r="AV40" s="313" t="str">
        <f t="shared" si="2"/>
        <v/>
      </c>
      <c r="AW40" s="75" t="str">
        <f>IF(ISBLANK(StartDate)=TRUE,"",IF(AT40=NA,NA,IF(X40=NA,AT40,AT40+X40)))</f>
        <v/>
      </c>
      <c r="AX40" s="94" t="str">
        <f t="shared" si="3"/>
        <v/>
      </c>
      <c r="AY40" s="95" t="str">
        <f>IF(AX40="","",IF(AX40&gt;720,AX40-720,0))</f>
        <v/>
      </c>
      <c r="AZ40" s="161"/>
      <c r="BA40" s="324" t="str">
        <f>IF(AX40="","",BA36+AY40)</f>
        <v/>
      </c>
      <c r="BB40" s="310" t="str">
        <f>IF(AZ40="","",BB36+AZ40)</f>
        <v/>
      </c>
      <c r="BC40" s="320" t="str">
        <f>IF(ISBLANK(StartDate)=TRUE,"",AX40-AY40)</f>
        <v/>
      </c>
      <c r="BD40" s="96" t="s">
        <v>12</v>
      </c>
      <c r="BE40" s="340"/>
      <c r="BF40" s="341"/>
      <c r="BI40" s="175" t="str">
        <f>BA40</f>
        <v/>
      </c>
      <c r="BJ40" s="175" t="str">
        <f>BA41</f>
        <v/>
      </c>
      <c r="BK40" s="3" t="str">
        <f>IF(BI40="","",BC40)</f>
        <v/>
      </c>
      <c r="BL40" s="2" t="str">
        <f>IF(BJ40="","",BC41)</f>
        <v/>
      </c>
      <c r="BM40" s="2" t="str">
        <f t="shared" ref="BM40" si="11">IF(BI40="","",BC43)</f>
        <v/>
      </c>
    </row>
    <row r="41" spans="1:65" s="4" customFormat="1" ht="18.75" customHeight="1" thickBot="1" x14ac:dyDescent="0.25">
      <c r="A41" s="355"/>
      <c r="B41" s="51">
        <f>EDATE($A$11,7)</f>
        <v>43313</v>
      </c>
      <c r="C41" s="50" t="str">
        <f>IF(ISBLANK(StartDate)=TRUE,"",IF(StartDate&gt;B41,NA,IF(B41&lt;FiveYr,5,IF(B41&lt;TenYr,6,7))))</f>
        <v/>
      </c>
      <c r="D41" s="74" t="s">
        <v>13</v>
      </c>
      <c r="E41" s="166" t="str">
        <f>IF(ISBLANK(StartDate)=TRUE,"",IF(C41=NA,"",IF(AR37=NA,0,BC37)))</f>
        <v/>
      </c>
      <c r="F41" s="114"/>
      <c r="G41" s="116"/>
      <c r="H41" s="116"/>
      <c r="I41" s="115"/>
      <c r="J41" s="115"/>
      <c r="K41" s="116"/>
      <c r="L41" s="116"/>
      <c r="M41" s="116"/>
      <c r="N41" s="116"/>
      <c r="O41" s="116"/>
      <c r="P41" s="115"/>
      <c r="Q41" s="115"/>
      <c r="R41" s="116"/>
      <c r="S41" s="116"/>
      <c r="T41" s="118"/>
      <c r="U41" s="210">
        <f t="shared" si="4"/>
        <v>43327</v>
      </c>
      <c r="V41" s="121" t="str">
        <f>IF(ISBLANK(StartDate)=TRUE,"",IF(StartDate&gt;U41,NA,IF(U41&lt;FiveYr,5,IF(U41&lt;TenYr,6,7))))</f>
        <v/>
      </c>
      <c r="W41" s="76" t="str">
        <f t="shared" si="0"/>
        <v/>
      </c>
      <c r="X41" s="77" t="str">
        <f>IF(V41=NA,NA,IF(C41=NA,0,V41))</f>
        <v/>
      </c>
      <c r="Y41" s="78" t="str">
        <f>IF(ISBLANK(StartDate)=TRUE,"",IF(V41=NA,"",IF(C41=NA,0,E41-W41+X41)))</f>
        <v/>
      </c>
      <c r="Z41" s="301"/>
      <c r="AA41" s="114"/>
      <c r="AB41" s="114"/>
      <c r="AC41" s="115"/>
      <c r="AD41" s="115"/>
      <c r="AE41" s="116"/>
      <c r="AF41" s="116"/>
      <c r="AG41" s="116"/>
      <c r="AH41" s="116"/>
      <c r="AI41" s="114"/>
      <c r="AJ41" s="115"/>
      <c r="AK41" s="115"/>
      <c r="AL41" s="116"/>
      <c r="AM41" s="116"/>
      <c r="AN41" s="116"/>
      <c r="AO41" s="116"/>
      <c r="AP41" s="118"/>
      <c r="AQ41" s="237">
        <f t="shared" si="5"/>
        <v>43343</v>
      </c>
      <c r="AR41" s="291" t="str">
        <f>IF(ISBLANK(StartDate)=TRUE,"",IF(StartDate&gt;AQ41,NA,IF(AQ41&lt;FiveYr,5,IF(AQ41&lt;TenYr,6,7))))</f>
        <v/>
      </c>
      <c r="AS41" s="83" t="str">
        <f t="shared" si="1"/>
        <v/>
      </c>
      <c r="AT41" s="77" t="str">
        <f>IF(ISBLANK(StartDate)=TRUE,"",IF(AR41=NA,NA,IF(V41=NA,0,AR41)))</f>
        <v/>
      </c>
      <c r="AU41" s="198" t="str">
        <f>IF(ISBLANK(StartDate)=TRUE,"",IF(AR41=NA,"",IF(Y41=NA,0,Y41-AS41+AT41)))</f>
        <v/>
      </c>
      <c r="AV41" s="314" t="str">
        <f t="shared" si="2"/>
        <v/>
      </c>
      <c r="AW41" s="77" t="str">
        <f>IF(ISBLANK(StartDate)=TRUE,"",IF(AT41=NA,NA,IF(X41=NA,AT41,AT41+X41)))</f>
        <v/>
      </c>
      <c r="AX41" s="84" t="str">
        <f t="shared" si="3"/>
        <v/>
      </c>
      <c r="AY41" s="85" t="str">
        <f>IF(AX41="","",IF(AX41&gt;360,AX41-360,0))</f>
        <v/>
      </c>
      <c r="AZ41" s="160"/>
      <c r="BA41" s="325" t="str">
        <f>IF(AX41="","",BA37+AY41)</f>
        <v/>
      </c>
      <c r="BB41" s="198" t="str">
        <f>IF(AZ41="","",BB37+AZ41)</f>
        <v/>
      </c>
      <c r="BC41" s="321" t="str">
        <f>IF(ISBLANK(StartDate)=TRUE,"",AX41-AY41)</f>
        <v/>
      </c>
      <c r="BD41" s="87" t="s">
        <v>13</v>
      </c>
      <c r="BE41" s="342"/>
      <c r="BF41" s="343"/>
      <c r="BK41" s="3"/>
      <c r="BL41" s="2"/>
      <c r="BM41" s="2"/>
    </row>
    <row r="42" spans="1:65" s="4" customFormat="1" ht="18.75" customHeight="1" thickBot="1" x14ac:dyDescent="0.25">
      <c r="A42" s="355"/>
      <c r="B42" s="51">
        <f>EDATE($A$11,7)</f>
        <v>43313</v>
      </c>
      <c r="C42" s="50" t="str">
        <f>IF(ISBLANK(StartDate)=TRUE,"",IF(StartDate&gt;B42,NA,IF(StartDate=B42,0,0)))</f>
        <v/>
      </c>
      <c r="D42" s="199" t="s">
        <v>21</v>
      </c>
      <c r="E42" s="205" t="str">
        <f>IF(ISBLANK(StartDate)=TRUE,"",IF(C42=NA,"",IF(AR38=NA,0,AX38)))</f>
        <v/>
      </c>
      <c r="F42" s="218"/>
      <c r="G42" s="213"/>
      <c r="H42" s="213"/>
      <c r="I42" s="214"/>
      <c r="J42" s="214"/>
      <c r="K42" s="218"/>
      <c r="L42" s="213"/>
      <c r="M42" s="213"/>
      <c r="N42" s="213"/>
      <c r="O42" s="213"/>
      <c r="P42" s="214"/>
      <c r="Q42" s="214"/>
      <c r="R42" s="218"/>
      <c r="S42" s="213"/>
      <c r="T42" s="220"/>
      <c r="U42" s="216">
        <f t="shared" si="4"/>
        <v>43327</v>
      </c>
      <c r="V42" s="217" t="str">
        <f>IF(ISBLANK(StartDate)=TRUE,"",IF(StartDate&gt;U42,NA,IF(StartDate=U42,0,0)))</f>
        <v/>
      </c>
      <c r="W42" s="79" t="str">
        <f>IF(ISBLANK(StartDate)=TRUE,"",IF(V42=NA,"",IF(C42=NA,0,SUM(F42:T42))))</f>
        <v/>
      </c>
      <c r="X42" s="80" t="str">
        <f>IF(ISBLANK(StartDate)=TRUE,"",NA)</f>
        <v/>
      </c>
      <c r="Y42" s="81" t="str">
        <f>IF(ISBLANK(StartDate)=TRUE,"",IF(V42=NA,"",IF(C42=NA,0,E42-W42)))</f>
        <v/>
      </c>
      <c r="Z42" s="302"/>
      <c r="AA42" s="218"/>
      <c r="AB42" s="218"/>
      <c r="AC42" s="214"/>
      <c r="AD42" s="214"/>
      <c r="AE42" s="218"/>
      <c r="AF42" s="213"/>
      <c r="AG42" s="213"/>
      <c r="AH42" s="213"/>
      <c r="AI42" s="218"/>
      <c r="AJ42" s="214"/>
      <c r="AK42" s="214"/>
      <c r="AL42" s="218"/>
      <c r="AM42" s="213"/>
      <c r="AN42" s="213"/>
      <c r="AO42" s="213"/>
      <c r="AP42" s="220"/>
      <c r="AQ42" s="237">
        <f t="shared" si="5"/>
        <v>43343</v>
      </c>
      <c r="AR42" s="289" t="str">
        <f>IF(ISBLANK(StartDate)=TRUE,"",IF(StartDate&gt;AQ42,NA,IF(StartDate=AQ42,0,0)))</f>
        <v/>
      </c>
      <c r="AS42" s="88" t="str">
        <f>IF(ISBLANK(StartDate)=TRUE,"",IF(AR42=NA,"",IF(Y42=NA,0,SUM(AA42:AP42))))</f>
        <v/>
      </c>
      <c r="AT42" s="80" t="str">
        <f>IF(ISBLANK(StartDate)=TRUE,"",NA)</f>
        <v/>
      </c>
      <c r="AU42" s="311" t="str">
        <f>IF(ISBLANK(StartDate)=TRUE,"",IF(AR42=NA,"",IF(Y42=NA,0,Y42-AS42)))</f>
        <v/>
      </c>
      <c r="AV42" s="315" t="str">
        <f t="shared" si="2"/>
        <v/>
      </c>
      <c r="AW42" s="80" t="str">
        <f>IF(ISBLANK(StartDate)=TRUE,"",NA)</f>
        <v/>
      </c>
      <c r="AX42" s="89"/>
      <c r="AY42" s="85"/>
      <c r="AZ42" s="222"/>
      <c r="BA42" s="223"/>
      <c r="BB42" s="317"/>
      <c r="BC42" s="322" t="str">
        <f>IF(ISBLANK(StartDate)=TRUE,"",AX42)</f>
        <v/>
      </c>
      <c r="BD42" s="92" t="s">
        <v>21</v>
      </c>
      <c r="BE42" s="180"/>
      <c r="BF42" s="181"/>
      <c r="BK42" s="3"/>
      <c r="BL42" s="2"/>
      <c r="BM42" s="2"/>
    </row>
    <row r="43" spans="1:65" s="4" customFormat="1" ht="18.75" customHeight="1" thickBot="1" x14ac:dyDescent="0.25">
      <c r="A43" s="355"/>
      <c r="B43" s="51">
        <f>EDATE($A$11,7)</f>
        <v>43313</v>
      </c>
      <c r="C43" s="14">
        <v>0</v>
      </c>
      <c r="D43" s="200" t="s">
        <v>51</v>
      </c>
      <c r="E43" s="206" t="s">
        <v>53</v>
      </c>
      <c r="F43" s="259"/>
      <c r="G43" s="234"/>
      <c r="H43" s="234"/>
      <c r="I43" s="235"/>
      <c r="J43" s="235"/>
      <c r="K43" s="234"/>
      <c r="L43" s="233"/>
      <c r="M43" s="233"/>
      <c r="N43" s="233"/>
      <c r="O43" s="233"/>
      <c r="P43" s="235"/>
      <c r="Q43" s="235"/>
      <c r="R43" s="234"/>
      <c r="S43" s="233"/>
      <c r="T43" s="243"/>
      <c r="U43" s="237">
        <f t="shared" si="4"/>
        <v>43327</v>
      </c>
      <c r="V43" s="238" t="str">
        <f>IF(ISBLANK(StartDate)=TRUE,"",IF(StartDate&gt;U43,NA,IF(StartDate=U43,0,0)))</f>
        <v/>
      </c>
      <c r="W43" s="239" t="str">
        <f t="shared" si="0"/>
        <v/>
      </c>
      <c r="X43" s="240" t="str">
        <f>V43</f>
        <v/>
      </c>
      <c r="Y43" s="241" t="str">
        <f ca="1">IF(ISBLANK(StartDate)=TRUE,"",IF(V43=NA,"",IF(StartDate&gt;TODAY(),"",X43-W43)))</f>
        <v/>
      </c>
      <c r="Z43" s="303"/>
      <c r="AA43" s="234"/>
      <c r="AB43" s="234"/>
      <c r="AC43" s="235"/>
      <c r="AD43" s="235"/>
      <c r="AE43" s="234"/>
      <c r="AF43" s="233"/>
      <c r="AG43" s="233"/>
      <c r="AH43" s="233"/>
      <c r="AI43" s="233"/>
      <c r="AJ43" s="235"/>
      <c r="AK43" s="235"/>
      <c r="AL43" s="234"/>
      <c r="AM43" s="233"/>
      <c r="AN43" s="233"/>
      <c r="AO43" s="233"/>
      <c r="AP43" s="243"/>
      <c r="AQ43" s="237">
        <f t="shared" si="5"/>
        <v>43343</v>
      </c>
      <c r="AR43" s="289" t="str">
        <f>IF(ISBLANK(StartDate)=TRUE,"",IF(StartDate&gt;AQ43,NA,IF(StartDate=AQ43,0,0)))</f>
        <v/>
      </c>
      <c r="AS43" s="244" t="str">
        <f>IF(ISBLANK(StartDate)=TRUE,"",IF(AR43=NA,"",IF(Y43=NA,0,SUM(AA43:AP43))))</f>
        <v/>
      </c>
      <c r="AT43" s="240" t="str">
        <f>AR43</f>
        <v/>
      </c>
      <c r="AU43" s="312" t="str">
        <f ca="1">IF(ISBLANK(StartDate)=TRUE,"",IF(AR43=NA,"",IF(StartDate&gt;TODAY(),"",AT43-AS43)))</f>
        <v/>
      </c>
      <c r="AV43" s="316" t="str">
        <f t="shared" si="2"/>
        <v/>
      </c>
      <c r="AW43" s="240" t="str">
        <f>IF(ISBLANK(StartDate)=TRUE,"",X43+AT43)</f>
        <v/>
      </c>
      <c r="AX43" s="292" t="s">
        <v>52</v>
      </c>
      <c r="AY43" s="261" t="str">
        <f>AW43</f>
        <v/>
      </c>
      <c r="AZ43" s="246"/>
      <c r="BA43" s="247"/>
      <c r="BB43" s="246"/>
      <c r="BC43" s="323"/>
      <c r="BD43" s="204" t="s">
        <v>51</v>
      </c>
      <c r="BE43" s="350"/>
      <c r="BF43" s="351"/>
      <c r="BK43" s="3"/>
      <c r="BL43" s="2"/>
      <c r="BM43" s="2"/>
    </row>
    <row r="44" spans="1:65" ht="18.75" customHeight="1" thickTop="1" thickBot="1" x14ac:dyDescent="0.25">
      <c r="A44" s="355">
        <f>B44</f>
        <v>43344</v>
      </c>
      <c r="B44" s="51">
        <f>EDATE($A$11,8)</f>
        <v>43344</v>
      </c>
      <c r="C44" s="50" t="str">
        <f>IF(ISBLANK(StartDate)=TRUE,"",IF(StartDate&gt;B44,NA,IF(StartDate=B44,0,5)))</f>
        <v/>
      </c>
      <c r="D44" s="73" t="s">
        <v>12</v>
      </c>
      <c r="E44" s="207" t="str">
        <f>IF(ISBLANK(StartDate)=TRUE,"",IF(C44=NA,"",IF(AR40=NA,0,BC40)))</f>
        <v/>
      </c>
      <c r="F44" s="99"/>
      <c r="G44" s="99"/>
      <c r="H44" s="266"/>
      <c r="I44" s="107"/>
      <c r="J44" s="107"/>
      <c r="K44" s="107"/>
      <c r="L44" s="100"/>
      <c r="M44" s="99"/>
      <c r="N44" s="99"/>
      <c r="O44" s="282"/>
      <c r="P44" s="107"/>
      <c r="Q44" s="107"/>
      <c r="R44" s="107"/>
      <c r="S44" s="107"/>
      <c r="T44" s="99"/>
      <c r="U44" s="208">
        <f t="shared" si="4"/>
        <v>43358</v>
      </c>
      <c r="V44" s="209" t="str">
        <f>IF(ISBLANK(StartDate)=TRUE,"",IF(StartDate&gt;U44,NA,IF(StartDate=U44,0,5)))</f>
        <v/>
      </c>
      <c r="W44" s="90" t="str">
        <f t="shared" si="0"/>
        <v/>
      </c>
      <c r="X44" s="75" t="str">
        <f>IF(V44=NA,NA,IF(C44=NA,0,V44))</f>
        <v/>
      </c>
      <c r="Y44" s="91" t="str">
        <f>IF(ISBLANK(StartDate)=TRUE,"",IF(V44=NA,"",IF(C44=NA,0,E44-W44+X44)))</f>
        <v/>
      </c>
      <c r="Z44" s="304">
        <f>A44+15</f>
        <v>43359</v>
      </c>
      <c r="AA44" s="99"/>
      <c r="AB44" s="282"/>
      <c r="AC44" s="107"/>
      <c r="AD44" s="106"/>
      <c r="AE44" s="107"/>
      <c r="AF44" s="106"/>
      <c r="AG44" s="99"/>
      <c r="AH44" s="99"/>
      <c r="AI44" s="282"/>
      <c r="AJ44" s="107"/>
      <c r="AK44" s="107"/>
      <c r="AL44" s="107"/>
      <c r="AM44" s="106"/>
      <c r="AN44" s="99"/>
      <c r="AO44" s="99"/>
      <c r="AP44" s="113"/>
      <c r="AQ44" s="237">
        <f t="shared" si="5"/>
        <v>43373</v>
      </c>
      <c r="AR44" s="290" t="str">
        <f>IF(ISBLANK(StartDate)=TRUE,"",IF(StartDate&gt;AQ44,NA,IF(StartDate=AQ44,0,5)))</f>
        <v/>
      </c>
      <c r="AS44" s="93" t="str">
        <f t="shared" si="1"/>
        <v/>
      </c>
      <c r="AT44" s="75" t="str">
        <f>IF(ISBLANK(StartDate)=TRUE,"",IF(AR44=NA,NA,IF(V44=NA,0,AR44)))</f>
        <v/>
      </c>
      <c r="AU44" s="310" t="str">
        <f>IF(ISBLANK(StartDate)=TRUE,"",IF(AR44=NA,"",IF(Y44=NA,0,Y44-AS44+AT44)))</f>
        <v/>
      </c>
      <c r="AV44" s="313" t="str">
        <f t="shared" si="2"/>
        <v/>
      </c>
      <c r="AW44" s="75" t="str">
        <f>IF(ISBLANK(StartDate)=TRUE,"",IF(AT44=NA,NA,IF(X44=NA,AT44,AT44+X44)))</f>
        <v/>
      </c>
      <c r="AX44" s="94" t="str">
        <f t="shared" si="3"/>
        <v/>
      </c>
      <c r="AY44" s="95" t="str">
        <f>IF(AX44="","",IF(AX44&gt;720,AX44-720,0))</f>
        <v/>
      </c>
      <c r="AZ44" s="161"/>
      <c r="BA44" s="324" t="str">
        <f>IF(AX44="","",BA40+AY44)</f>
        <v/>
      </c>
      <c r="BB44" s="310" t="str">
        <f>IF(AZ44="","",BB40+AZ44)</f>
        <v/>
      </c>
      <c r="BC44" s="320" t="str">
        <f>IF(ISBLANK(StartDate)=TRUE,"",AX44-AY44)</f>
        <v/>
      </c>
      <c r="BD44" s="96" t="s">
        <v>12</v>
      </c>
      <c r="BE44" s="340"/>
      <c r="BF44" s="341"/>
      <c r="BI44" s="175" t="str">
        <f>BA44</f>
        <v/>
      </c>
      <c r="BJ44" s="175" t="str">
        <f>BA45</f>
        <v/>
      </c>
      <c r="BK44" s="3" t="str">
        <f>IF(BI44="","",BC44)</f>
        <v/>
      </c>
      <c r="BL44" s="2" t="str">
        <f>IF(BJ44="","",BC45)</f>
        <v/>
      </c>
      <c r="BM44" s="2" t="str">
        <f t="shared" ref="BM44" si="12">IF(BI44="","",BC47)</f>
        <v/>
      </c>
    </row>
    <row r="45" spans="1:65" s="4" customFormat="1" ht="18.75" customHeight="1" thickBot="1" x14ac:dyDescent="0.25">
      <c r="A45" s="355"/>
      <c r="B45" s="51">
        <f>EDATE($A$11,8)</f>
        <v>43344</v>
      </c>
      <c r="C45" s="50" t="str">
        <f>IF(ISBLANK(StartDate)=TRUE,"",IF(StartDate&gt;B45,NA,IF(B45&lt;FiveYr,5,IF(B45&lt;TenYr,6,7))))</f>
        <v/>
      </c>
      <c r="D45" s="74" t="s">
        <v>13</v>
      </c>
      <c r="E45" s="166" t="str">
        <f>IF(ISBLANK(StartDate)=TRUE,"",IF(C45=NA,"",IF(AR41=NA,0,BC41)))</f>
        <v/>
      </c>
      <c r="F45" s="115"/>
      <c r="G45" s="115"/>
      <c r="H45" s="263"/>
      <c r="I45" s="116"/>
      <c r="J45" s="116"/>
      <c r="K45" s="116"/>
      <c r="L45" s="116"/>
      <c r="M45" s="115"/>
      <c r="N45" s="115"/>
      <c r="O45" s="116"/>
      <c r="P45" s="116"/>
      <c r="Q45" s="116"/>
      <c r="R45" s="116"/>
      <c r="S45" s="116"/>
      <c r="T45" s="115"/>
      <c r="U45" s="210">
        <f t="shared" si="4"/>
        <v>43358</v>
      </c>
      <c r="V45" s="121" t="str">
        <f>IF(ISBLANK(StartDate)=TRUE,"",IF(StartDate&gt;U45,NA,IF(U45&lt;FiveYr,5,IF(U45&lt;TenYr,6,7))))</f>
        <v/>
      </c>
      <c r="W45" s="76" t="str">
        <f t="shared" si="0"/>
        <v/>
      </c>
      <c r="X45" s="77" t="str">
        <f>IF(V45=NA,NA,IF(C45=NA,0,V45))</f>
        <v/>
      </c>
      <c r="Y45" s="78" t="str">
        <f>IF(ISBLANK(StartDate)=TRUE,"",IF(V45=NA,"",IF(C45=NA,0,E45-W45+X45)))</f>
        <v/>
      </c>
      <c r="Z45" s="301"/>
      <c r="AA45" s="115"/>
      <c r="AB45" s="116"/>
      <c r="AC45" s="116"/>
      <c r="AD45" s="114"/>
      <c r="AE45" s="116"/>
      <c r="AF45" s="114"/>
      <c r="AG45" s="115"/>
      <c r="AH45" s="115"/>
      <c r="AI45" s="116"/>
      <c r="AJ45" s="116"/>
      <c r="AK45" s="116"/>
      <c r="AL45" s="116"/>
      <c r="AM45" s="114"/>
      <c r="AN45" s="115"/>
      <c r="AO45" s="115"/>
      <c r="AP45" s="125"/>
      <c r="AQ45" s="237">
        <f t="shared" si="5"/>
        <v>43373</v>
      </c>
      <c r="AR45" s="291" t="str">
        <f>IF(ISBLANK(StartDate)=TRUE,"",IF(StartDate&gt;AQ45,NA,IF(AQ45&lt;FiveYr,5,IF(AQ45&lt;TenYr,6,7))))</f>
        <v/>
      </c>
      <c r="AS45" s="83" t="str">
        <f t="shared" si="1"/>
        <v/>
      </c>
      <c r="AT45" s="77" t="str">
        <f>IF(ISBLANK(StartDate)=TRUE,"",IF(AR45=NA,NA,IF(V45=NA,0,AR45)))</f>
        <v/>
      </c>
      <c r="AU45" s="198" t="str">
        <f>IF(ISBLANK(StartDate)=TRUE,"",IF(AR45=NA,"",IF(Y45=NA,0,Y45-AS45+AT45)))</f>
        <v/>
      </c>
      <c r="AV45" s="314" t="str">
        <f t="shared" si="2"/>
        <v/>
      </c>
      <c r="AW45" s="77" t="str">
        <f>IF(ISBLANK(StartDate)=TRUE,"",IF(AT45=NA,NA,IF(X45=NA,AT45,AT45+X45)))</f>
        <v/>
      </c>
      <c r="AX45" s="84" t="str">
        <f t="shared" si="3"/>
        <v/>
      </c>
      <c r="AY45" s="85" t="str">
        <f>IF(AX45="","",IF(AX45&gt;360,AX45-360,0))</f>
        <v/>
      </c>
      <c r="AZ45" s="160"/>
      <c r="BA45" s="325" t="str">
        <f>IF(AX45="","",BA41+AY45)</f>
        <v/>
      </c>
      <c r="BB45" s="198" t="str">
        <f>IF(AZ45="","",BB41+AZ45)</f>
        <v/>
      </c>
      <c r="BC45" s="321" t="str">
        <f>IF(ISBLANK(StartDate)=TRUE,"",AX45-AY45)</f>
        <v/>
      </c>
      <c r="BD45" s="87" t="s">
        <v>13</v>
      </c>
      <c r="BE45" s="342"/>
      <c r="BF45" s="343"/>
      <c r="BK45" s="3"/>
      <c r="BL45" s="2"/>
      <c r="BM45" s="2"/>
    </row>
    <row r="46" spans="1:65" s="4" customFormat="1" ht="18.75" customHeight="1" thickBot="1" x14ac:dyDescent="0.25">
      <c r="A46" s="355"/>
      <c r="B46" s="51">
        <f>EDATE($A$11,8)</f>
        <v>43344</v>
      </c>
      <c r="C46" s="50" t="str">
        <f>IF(ISBLANK(StartDate)=TRUE,"",IF(StartDate&gt;B46,NA,IF(StartDate=B46,0,0)))</f>
        <v/>
      </c>
      <c r="D46" s="199" t="s">
        <v>21</v>
      </c>
      <c r="E46" s="205" t="str">
        <f>IF(ISBLANK(StartDate)=TRUE,"",IF(C46=NA,"",IF(AR42=NA,0,AX42)))</f>
        <v/>
      </c>
      <c r="F46" s="214"/>
      <c r="G46" s="214"/>
      <c r="H46" s="264"/>
      <c r="I46" s="213"/>
      <c r="J46" s="213"/>
      <c r="K46" s="213"/>
      <c r="L46" s="213"/>
      <c r="M46" s="214"/>
      <c r="N46" s="214"/>
      <c r="O46" s="218"/>
      <c r="P46" s="213"/>
      <c r="Q46" s="213"/>
      <c r="R46" s="213"/>
      <c r="S46" s="213"/>
      <c r="T46" s="214"/>
      <c r="U46" s="216">
        <f t="shared" si="4"/>
        <v>43358</v>
      </c>
      <c r="V46" s="217" t="str">
        <f>IF(ISBLANK(StartDate)=TRUE,"",IF(StartDate&gt;U46,NA,IF(StartDate=U46,0,0)))</f>
        <v/>
      </c>
      <c r="W46" s="79" t="str">
        <f>IF(ISBLANK(StartDate)=TRUE,"",IF(V46=NA,"",IF(C46=NA,0,SUM(F46:T46))))</f>
        <v/>
      </c>
      <c r="X46" s="80" t="str">
        <f>IF(ISBLANK(StartDate)=TRUE,"",NA)</f>
        <v/>
      </c>
      <c r="Y46" s="81" t="str">
        <f>IF(ISBLANK(StartDate)=TRUE,"",IF(V46=NA,"",IF(C46=NA,0,E46-W46)))</f>
        <v/>
      </c>
      <c r="Z46" s="302"/>
      <c r="AA46" s="214"/>
      <c r="AB46" s="218"/>
      <c r="AC46" s="213"/>
      <c r="AD46" s="218"/>
      <c r="AE46" s="213"/>
      <c r="AF46" s="218"/>
      <c r="AG46" s="214"/>
      <c r="AH46" s="214"/>
      <c r="AI46" s="218"/>
      <c r="AJ46" s="213"/>
      <c r="AK46" s="213"/>
      <c r="AL46" s="213"/>
      <c r="AM46" s="218"/>
      <c r="AN46" s="214"/>
      <c r="AO46" s="214"/>
      <c r="AP46" s="228"/>
      <c r="AQ46" s="237">
        <f t="shared" si="5"/>
        <v>43373</v>
      </c>
      <c r="AR46" s="289" t="str">
        <f>IF(ISBLANK(StartDate)=TRUE,"",IF(StartDate&gt;AQ46,NA,IF(StartDate=AQ46,0,0)))</f>
        <v/>
      </c>
      <c r="AS46" s="88" t="str">
        <f>IF(ISBLANK(StartDate)=TRUE,"",IF(AR46=NA,"",IF(Y46=NA,0,SUM(AA46:AP46))))</f>
        <v/>
      </c>
      <c r="AT46" s="80" t="str">
        <f>IF(ISBLANK(StartDate)=TRUE,"",NA)</f>
        <v/>
      </c>
      <c r="AU46" s="311" t="str">
        <f>IF(ISBLANK(StartDate)=TRUE,"",IF(AR46=NA,"",IF(Y46=NA,0,Y46-AS46)))</f>
        <v/>
      </c>
      <c r="AV46" s="315" t="str">
        <f t="shared" si="2"/>
        <v/>
      </c>
      <c r="AW46" s="80" t="str">
        <f>IF(ISBLANK(StartDate)=TRUE,"",NA)</f>
        <v/>
      </c>
      <c r="AX46" s="89"/>
      <c r="AY46" s="221"/>
      <c r="AZ46" s="222"/>
      <c r="BA46" s="223"/>
      <c r="BB46" s="317"/>
      <c r="BC46" s="322" t="str">
        <f>IF(ISBLANK(StartDate)=TRUE,"",AX46)</f>
        <v/>
      </c>
      <c r="BD46" s="92" t="s">
        <v>21</v>
      </c>
      <c r="BE46" s="180"/>
      <c r="BF46" s="181"/>
      <c r="BK46" s="3"/>
      <c r="BL46" s="2"/>
      <c r="BM46" s="2"/>
    </row>
    <row r="47" spans="1:65" s="4" customFormat="1" ht="18.75" customHeight="1" thickBot="1" x14ac:dyDescent="0.25">
      <c r="A47" s="355"/>
      <c r="B47" s="51">
        <f>EDATE($A$11,8)</f>
        <v>43344</v>
      </c>
      <c r="C47" s="14">
        <v>0</v>
      </c>
      <c r="D47" s="200" t="s">
        <v>51</v>
      </c>
      <c r="E47" s="206" t="s">
        <v>53</v>
      </c>
      <c r="F47" s="235"/>
      <c r="G47" s="235"/>
      <c r="H47" s="265"/>
      <c r="I47" s="233"/>
      <c r="J47" s="233"/>
      <c r="K47" s="233"/>
      <c r="L47" s="233"/>
      <c r="M47" s="235"/>
      <c r="N47" s="235"/>
      <c r="O47" s="234"/>
      <c r="P47" s="233"/>
      <c r="Q47" s="233"/>
      <c r="R47" s="233"/>
      <c r="S47" s="233"/>
      <c r="T47" s="235"/>
      <c r="U47" s="237">
        <f t="shared" si="4"/>
        <v>43358</v>
      </c>
      <c r="V47" s="238" t="str">
        <f>IF(ISBLANK(StartDate)=TRUE,"",IF(StartDate&gt;U47,NA,IF(StartDate=U47,0,8)))</f>
        <v/>
      </c>
      <c r="W47" s="239" t="str">
        <f t="shared" si="0"/>
        <v/>
      </c>
      <c r="X47" s="240" t="str">
        <f>V47</f>
        <v/>
      </c>
      <c r="Y47" s="241" t="str">
        <f ca="1">IF(ISBLANK(StartDate)=TRUE,"",IF(V47=NA,"",IF(StartDate&gt;TODAY(),"",X47-W47)))</f>
        <v/>
      </c>
      <c r="Z47" s="303"/>
      <c r="AA47" s="235"/>
      <c r="AB47" s="234"/>
      <c r="AC47" s="233"/>
      <c r="AD47" s="233"/>
      <c r="AE47" s="233"/>
      <c r="AF47" s="233"/>
      <c r="AG47" s="235"/>
      <c r="AH47" s="235"/>
      <c r="AI47" s="234"/>
      <c r="AJ47" s="233"/>
      <c r="AK47" s="233"/>
      <c r="AL47" s="233"/>
      <c r="AM47" s="233"/>
      <c r="AN47" s="235"/>
      <c r="AO47" s="235"/>
      <c r="AP47" s="258"/>
      <c r="AQ47" s="237">
        <f t="shared" si="5"/>
        <v>43373</v>
      </c>
      <c r="AR47" s="289" t="str">
        <f>IF(ISBLANK(StartDate)=TRUE,"",IF(StartDate&gt;AQ47,NA,IF(StartDate=AQ47,0,0)))</f>
        <v/>
      </c>
      <c r="AS47" s="244" t="str">
        <f>IF(ISBLANK(StartDate)=TRUE,"",IF(AR47=NA,"",IF(Y47=NA,0,SUM(AA47:AP47))))</f>
        <v/>
      </c>
      <c r="AT47" s="240" t="str">
        <f>AR47</f>
        <v/>
      </c>
      <c r="AU47" s="312" t="str">
        <f ca="1">IF(ISBLANK(StartDate)=TRUE,"",IF(AR47=NA,"",IF(StartDate&gt;TODAY(),"",AT47-AS47)))</f>
        <v/>
      </c>
      <c r="AV47" s="316" t="str">
        <f t="shared" si="2"/>
        <v/>
      </c>
      <c r="AW47" s="240" t="str">
        <f>IF(ISBLANK(StartDate)=TRUE,"",X47+AT47)</f>
        <v/>
      </c>
      <c r="AX47" s="292" t="s">
        <v>52</v>
      </c>
      <c r="AY47" s="261" t="str">
        <f>AW47</f>
        <v/>
      </c>
      <c r="AZ47" s="246"/>
      <c r="BA47" s="247"/>
      <c r="BB47" s="246"/>
      <c r="BC47" s="323"/>
      <c r="BD47" s="204" t="s">
        <v>51</v>
      </c>
      <c r="BE47" s="350"/>
      <c r="BF47" s="351"/>
      <c r="BK47" s="3"/>
      <c r="BL47" s="2"/>
      <c r="BM47" s="2"/>
    </row>
    <row r="48" spans="1:65" ht="18.75" customHeight="1" thickTop="1" thickBot="1" x14ac:dyDescent="0.25">
      <c r="A48" s="355">
        <f>B48</f>
        <v>43374</v>
      </c>
      <c r="B48" s="51">
        <f>EDATE($A$11,9)</f>
        <v>43374</v>
      </c>
      <c r="C48" s="50" t="str">
        <f>IF(ISBLANK(StartDate)=TRUE,"",IF(StartDate&gt;B48,NA,IF(StartDate=B48,0,5)))</f>
        <v/>
      </c>
      <c r="D48" s="73" t="s">
        <v>12</v>
      </c>
      <c r="E48" s="207" t="str">
        <f>IF(ISBLANK(StartDate)=TRUE,"",IF(C48=NA,"",IF(AR44=NA,0,BC44)))</f>
        <v/>
      </c>
      <c r="F48" s="282"/>
      <c r="G48" s="100"/>
      <c r="H48" s="100"/>
      <c r="I48" s="100"/>
      <c r="J48" s="107"/>
      <c r="K48" s="99"/>
      <c r="L48" s="99"/>
      <c r="M48" s="266"/>
      <c r="N48" s="107"/>
      <c r="O48" s="107"/>
      <c r="P48" s="107"/>
      <c r="Q48" s="107"/>
      <c r="R48" s="99"/>
      <c r="S48" s="99"/>
      <c r="T48" s="282"/>
      <c r="U48" s="208">
        <f t="shared" si="4"/>
        <v>43388</v>
      </c>
      <c r="V48" s="209" t="str">
        <f>IF(ISBLANK(StartDate)=TRUE,"",IF(StartDate&gt;U48,NA,IF(StartDate=U48,0,5)))</f>
        <v/>
      </c>
      <c r="W48" s="90" t="str">
        <f t="shared" ref="W48:W51" si="13">IF(ISBLANK(StartDate)=TRUE,"",IF(V48=NA,"",IF(C48=NA,0,SUM(F48:T48))))</f>
        <v/>
      </c>
      <c r="X48" s="75" t="str">
        <f>IF(V48=NA,NA,IF(C48=NA,0,V48))</f>
        <v/>
      </c>
      <c r="Y48" s="91" t="str">
        <f>IF(ISBLANK(StartDate)=TRUE,"",IF(V48=NA,"",IF(C48=NA,0,E48-W48+X48)))</f>
        <v/>
      </c>
      <c r="Z48" s="304">
        <f>A48+15</f>
        <v>43389</v>
      </c>
      <c r="AA48" s="106"/>
      <c r="AB48" s="107"/>
      <c r="AC48" s="106"/>
      <c r="AD48" s="107"/>
      <c r="AE48" s="99"/>
      <c r="AF48" s="99"/>
      <c r="AG48" s="100"/>
      <c r="AH48" s="100"/>
      <c r="AI48" s="100"/>
      <c r="AJ48" s="107"/>
      <c r="AK48" s="106"/>
      <c r="AL48" s="99"/>
      <c r="AM48" s="99"/>
      <c r="AN48" s="100"/>
      <c r="AO48" s="100"/>
      <c r="AP48" s="108"/>
      <c r="AQ48" s="237">
        <f t="shared" si="5"/>
        <v>43404</v>
      </c>
      <c r="AR48" s="290" t="str">
        <f>IF(ISBLANK(StartDate)=TRUE,"",IF(StartDate&gt;AQ48,NA,IF(StartDate=AQ48,0,5)))</f>
        <v/>
      </c>
      <c r="AS48" s="93" t="str">
        <f t="shared" si="1"/>
        <v/>
      </c>
      <c r="AT48" s="75" t="str">
        <f>IF(ISBLANK(StartDate)=TRUE,"",IF(AR48=NA,NA,IF(V48=NA,0,AR48)))</f>
        <v/>
      </c>
      <c r="AU48" s="310" t="str">
        <f>IF(ISBLANK(StartDate)=TRUE,"",IF(AR48=NA,"",IF(Y48=NA,0,Y48-AS48+AT48)))</f>
        <v/>
      </c>
      <c r="AV48" s="313" t="str">
        <f t="shared" si="2"/>
        <v/>
      </c>
      <c r="AW48" s="75" t="str">
        <f>IF(ISBLANK(StartDate)=TRUE,"",IF(AT48=NA,NA,IF(X48=NA,AT48,AT48+X48)))</f>
        <v/>
      </c>
      <c r="AX48" s="94" t="str">
        <f t="shared" si="3"/>
        <v/>
      </c>
      <c r="AY48" s="95" t="str">
        <f>IF(AX48="","",IF(AX48&gt;720,AX48-720,0))</f>
        <v/>
      </c>
      <c r="AZ48" s="161"/>
      <c r="BA48" s="324" t="str">
        <f>IF(AX48="","",BA44+AY48)</f>
        <v/>
      </c>
      <c r="BB48" s="310" t="str">
        <f>IF(AZ48="","",BB44+AZ48)</f>
        <v/>
      </c>
      <c r="BC48" s="320" t="str">
        <f>IF(ISBLANK(StartDate)=TRUE,"",AX48-AY48)</f>
        <v/>
      </c>
      <c r="BD48" s="96" t="s">
        <v>12</v>
      </c>
      <c r="BE48" s="340"/>
      <c r="BF48" s="341"/>
      <c r="BI48" s="175" t="str">
        <f>BA48</f>
        <v/>
      </c>
      <c r="BJ48" s="175" t="str">
        <f>BA49</f>
        <v/>
      </c>
      <c r="BK48" s="3" t="str">
        <f>IF(BI48="","",BC48)</f>
        <v/>
      </c>
      <c r="BL48" s="2" t="str">
        <f>IF(BJ48="","",BC49)</f>
        <v/>
      </c>
      <c r="BM48" s="2" t="str">
        <f t="shared" ref="BM48" si="14">IF(BI48="","",BC51)</f>
        <v/>
      </c>
    </row>
    <row r="49" spans="1:65" s="4" customFormat="1" ht="18.75" customHeight="1" thickBot="1" x14ac:dyDescent="0.25">
      <c r="A49" s="355"/>
      <c r="B49" s="51">
        <f>EDATE($A$11,9)</f>
        <v>43374</v>
      </c>
      <c r="C49" s="50" t="str">
        <f>IF(ISBLANK(StartDate)=TRUE,"",IF(StartDate&gt;B49,NA,IF(B49&lt;FiveYr,5,IF(B49&lt;TenYr,6,7))))</f>
        <v/>
      </c>
      <c r="D49" s="74" t="s">
        <v>13</v>
      </c>
      <c r="E49" s="166" t="str">
        <f>IF(ISBLANK(StartDate)=TRUE,"",IF(C49=NA,"",IF(AR45=NA,0,BC45)))</f>
        <v/>
      </c>
      <c r="F49" s="116"/>
      <c r="G49" s="116"/>
      <c r="H49" s="116"/>
      <c r="I49" s="116"/>
      <c r="J49" s="116"/>
      <c r="K49" s="115"/>
      <c r="L49" s="115"/>
      <c r="M49" s="263"/>
      <c r="N49" s="116"/>
      <c r="O49" s="116"/>
      <c r="P49" s="116"/>
      <c r="Q49" s="116"/>
      <c r="R49" s="115"/>
      <c r="S49" s="115"/>
      <c r="T49" s="116"/>
      <c r="U49" s="210">
        <f t="shared" si="4"/>
        <v>43388</v>
      </c>
      <c r="V49" s="121" t="str">
        <f>IF(ISBLANK(StartDate)=TRUE,"",IF(StartDate&gt;U49,NA,IF(U49&lt;FiveYr,5,IF(U49&lt;TenYr,6,7))))</f>
        <v/>
      </c>
      <c r="W49" s="76" t="str">
        <f t="shared" si="13"/>
        <v/>
      </c>
      <c r="X49" s="77" t="str">
        <f>IF(V49=NA,NA,IF(C49=NA,0,V49))</f>
        <v/>
      </c>
      <c r="Y49" s="78" t="str">
        <f>IF(ISBLANK(StartDate)=TRUE,"",IF(V49=NA,"",IF(C49=NA,0,E49-W49+X49)))</f>
        <v/>
      </c>
      <c r="Z49" s="301"/>
      <c r="AA49" s="114"/>
      <c r="AB49" s="116"/>
      <c r="AC49" s="114"/>
      <c r="AD49" s="116"/>
      <c r="AE49" s="115"/>
      <c r="AF49" s="115"/>
      <c r="AG49" s="116"/>
      <c r="AH49" s="116"/>
      <c r="AI49" s="116"/>
      <c r="AJ49" s="116"/>
      <c r="AK49" s="114"/>
      <c r="AL49" s="115"/>
      <c r="AM49" s="115"/>
      <c r="AN49" s="116"/>
      <c r="AO49" s="116"/>
      <c r="AP49" s="118"/>
      <c r="AQ49" s="237">
        <f t="shared" si="5"/>
        <v>43404</v>
      </c>
      <c r="AR49" s="291" t="str">
        <f>IF(ISBLANK(StartDate)=TRUE,"",IF(StartDate&gt;AQ49,NA,IF(AQ49&lt;FiveYr,5,IF(AQ49&lt;TenYr,6,7))))</f>
        <v/>
      </c>
      <c r="AS49" s="83" t="str">
        <f t="shared" si="1"/>
        <v/>
      </c>
      <c r="AT49" s="77" t="str">
        <f>IF(ISBLANK(StartDate)=TRUE,"",IF(AR49=NA,NA,IF(V49=NA,0,AR49)))</f>
        <v/>
      </c>
      <c r="AU49" s="198" t="str">
        <f>IF(ISBLANK(StartDate)=TRUE,"",IF(AR49=NA,"",IF(Y49=NA,0,Y49-AS49+AT49)))</f>
        <v/>
      </c>
      <c r="AV49" s="314" t="str">
        <f t="shared" si="2"/>
        <v/>
      </c>
      <c r="AW49" s="77" t="str">
        <f>IF(ISBLANK(StartDate)=TRUE,"",IF(AT49=NA,NA,IF(X49=NA,AT49,AT49+X49)))</f>
        <v/>
      </c>
      <c r="AX49" s="84" t="str">
        <f t="shared" si="3"/>
        <v/>
      </c>
      <c r="AY49" s="85" t="str">
        <f>IF(AX49="","",IF(AX49&gt;360,AX49-360,0))</f>
        <v/>
      </c>
      <c r="AZ49" s="160"/>
      <c r="BA49" s="325" t="str">
        <f>IF(AX49="","",BA45+AY49)</f>
        <v/>
      </c>
      <c r="BB49" s="198" t="str">
        <f>IF(AZ49="","",BB45+AZ49)</f>
        <v/>
      </c>
      <c r="BC49" s="321" t="str">
        <f>IF(ISBLANK(StartDate)=TRUE,"",AX49-AY49)</f>
        <v/>
      </c>
      <c r="BD49" s="87" t="s">
        <v>13</v>
      </c>
      <c r="BE49" s="342"/>
      <c r="BF49" s="343"/>
      <c r="BK49" s="3"/>
      <c r="BL49" s="2"/>
      <c r="BM49" s="2"/>
    </row>
    <row r="50" spans="1:65" s="4" customFormat="1" ht="18.75" customHeight="1" thickBot="1" x14ac:dyDescent="0.25">
      <c r="A50" s="355"/>
      <c r="B50" s="51">
        <f>EDATE($A$11,9)</f>
        <v>43374</v>
      </c>
      <c r="C50" s="50" t="str">
        <f>IF(ISBLANK(StartDate)=TRUE,"",IF(StartDate&gt;B50,NA,IF(StartDate=B50,0,0)))</f>
        <v/>
      </c>
      <c r="D50" s="199" t="s">
        <v>21</v>
      </c>
      <c r="E50" s="205" t="str">
        <f>IF(ISBLANK(StartDate)=TRUE,"",IF(C50=NA,"",IF(AR46=NA,0,AX46)))</f>
        <v/>
      </c>
      <c r="F50" s="218"/>
      <c r="G50" s="213"/>
      <c r="H50" s="213"/>
      <c r="I50" s="213"/>
      <c r="J50" s="213"/>
      <c r="K50" s="214"/>
      <c r="L50" s="214"/>
      <c r="M50" s="264"/>
      <c r="N50" s="213"/>
      <c r="O50" s="213"/>
      <c r="P50" s="213"/>
      <c r="Q50" s="213"/>
      <c r="R50" s="214"/>
      <c r="S50" s="214"/>
      <c r="T50" s="218"/>
      <c r="U50" s="216">
        <f t="shared" si="4"/>
        <v>43388</v>
      </c>
      <c r="V50" s="217" t="str">
        <f>IF(ISBLANK(StartDate)=TRUE,"",IF(StartDate&gt;U50,NA,IF(StartDate=U50,0,0)))</f>
        <v/>
      </c>
      <c r="W50" s="79" t="str">
        <f>IF(ISBLANK(StartDate)=TRUE,"",IF(V50=NA,"",IF(C50=NA,0,SUM(F50:T50))))</f>
        <v/>
      </c>
      <c r="X50" s="80" t="str">
        <f>IF(ISBLANK(StartDate)=TRUE,"",NA)</f>
        <v/>
      </c>
      <c r="Y50" s="81" t="str">
        <f>IF(ISBLANK(StartDate)=TRUE,"",IF(V50=NA,"",IF(C50=NA,0,E50-W50)))</f>
        <v/>
      </c>
      <c r="Z50" s="302"/>
      <c r="AA50" s="218"/>
      <c r="AB50" s="213"/>
      <c r="AC50" s="218"/>
      <c r="AD50" s="213"/>
      <c r="AE50" s="214"/>
      <c r="AF50" s="214"/>
      <c r="AG50" s="213"/>
      <c r="AH50" s="213"/>
      <c r="AI50" s="213"/>
      <c r="AJ50" s="213"/>
      <c r="AK50" s="218"/>
      <c r="AL50" s="214"/>
      <c r="AM50" s="214"/>
      <c r="AN50" s="213"/>
      <c r="AO50" s="213"/>
      <c r="AP50" s="220"/>
      <c r="AQ50" s="237">
        <f t="shared" si="5"/>
        <v>43404</v>
      </c>
      <c r="AR50" s="289" t="str">
        <f>IF(ISBLANK(StartDate)=TRUE,"",IF(StartDate&gt;AQ50,NA,IF(StartDate=AQ50,0,0)))</f>
        <v/>
      </c>
      <c r="AS50" s="88" t="str">
        <f>IF(ISBLANK(StartDate)=TRUE,"",IF(AR50=NA,"",IF(Y50=NA,0,SUM(AA50:AP50))))</f>
        <v/>
      </c>
      <c r="AT50" s="80" t="str">
        <f>IF(ISBLANK(StartDate)=TRUE,"",NA)</f>
        <v/>
      </c>
      <c r="AU50" s="311" t="str">
        <f>IF(ISBLANK(StartDate)=TRUE,"",IF(AR50=NA,"",IF(Y50=NA,0,Y50-AS50)))</f>
        <v/>
      </c>
      <c r="AV50" s="315" t="str">
        <f t="shared" si="2"/>
        <v/>
      </c>
      <c r="AW50" s="80" t="str">
        <f>IF(ISBLANK(StartDate)=TRUE,"",NA)</f>
        <v/>
      </c>
      <c r="AX50" s="89"/>
      <c r="AY50" s="221"/>
      <c r="AZ50" s="222"/>
      <c r="BA50" s="223"/>
      <c r="BB50" s="317"/>
      <c r="BC50" s="322" t="str">
        <f>IF(ISBLANK(StartDate)=TRUE,"",AX50)</f>
        <v/>
      </c>
      <c r="BD50" s="92" t="s">
        <v>21</v>
      </c>
      <c r="BE50" s="180"/>
      <c r="BF50" s="181"/>
      <c r="BK50" s="3"/>
      <c r="BL50" s="2"/>
      <c r="BM50" s="2"/>
    </row>
    <row r="51" spans="1:65" s="4" customFormat="1" ht="18.75" customHeight="1" thickBot="1" x14ac:dyDescent="0.25">
      <c r="A51" s="355"/>
      <c r="B51" s="51">
        <f>EDATE($A$11,9)</f>
        <v>43374</v>
      </c>
      <c r="C51" s="14">
        <v>0</v>
      </c>
      <c r="D51" s="200" t="s">
        <v>51</v>
      </c>
      <c r="E51" s="206" t="s">
        <v>53</v>
      </c>
      <c r="F51" s="234"/>
      <c r="G51" s="234"/>
      <c r="H51" s="234"/>
      <c r="I51" s="233"/>
      <c r="J51" s="233"/>
      <c r="K51" s="235"/>
      <c r="L51" s="235"/>
      <c r="M51" s="265"/>
      <c r="N51" s="233"/>
      <c r="O51" s="233"/>
      <c r="P51" s="233"/>
      <c r="Q51" s="233"/>
      <c r="R51" s="235"/>
      <c r="S51" s="235"/>
      <c r="T51" s="234"/>
      <c r="U51" s="237">
        <f t="shared" si="4"/>
        <v>43388</v>
      </c>
      <c r="V51" s="238" t="str">
        <f>IF(ISBLANK(StartDate)=TRUE,"",IF(StartDate&gt;U51,NA,IF(StartDate=U51,0,8)))</f>
        <v/>
      </c>
      <c r="W51" s="239" t="str">
        <f t="shared" si="13"/>
        <v/>
      </c>
      <c r="X51" s="240" t="str">
        <f>V51</f>
        <v/>
      </c>
      <c r="Y51" s="241" t="str">
        <f ca="1">IF(ISBLANK(StartDate)=TRUE,"",IF(V51=NA,"",IF(StartDate&gt;TODAY(),"",X51-W51)))</f>
        <v/>
      </c>
      <c r="Z51" s="303"/>
      <c r="AA51" s="234"/>
      <c r="AB51" s="233"/>
      <c r="AC51" s="233"/>
      <c r="AD51" s="233"/>
      <c r="AE51" s="235"/>
      <c r="AF51" s="235"/>
      <c r="AG51" s="233"/>
      <c r="AH51" s="233"/>
      <c r="AI51" s="233"/>
      <c r="AJ51" s="233"/>
      <c r="AK51" s="233"/>
      <c r="AL51" s="235"/>
      <c r="AM51" s="235"/>
      <c r="AN51" s="233"/>
      <c r="AO51" s="233"/>
      <c r="AP51" s="243"/>
      <c r="AQ51" s="237">
        <f t="shared" si="5"/>
        <v>43404</v>
      </c>
      <c r="AR51" s="289" t="str">
        <f>IF(ISBLANK(StartDate)=TRUE,"",IF(StartDate&gt;AQ51,NA,IF(StartDate=AQ51,0,0)))</f>
        <v/>
      </c>
      <c r="AS51" s="244" t="str">
        <f>IF(ISBLANK(StartDate)=TRUE,"",IF(AR51=NA,"",IF(Y51=NA,0,SUM(AA51:AP51))))</f>
        <v/>
      </c>
      <c r="AT51" s="240" t="str">
        <f>AR51</f>
        <v/>
      </c>
      <c r="AU51" s="312" t="str">
        <f ca="1">IF(ISBLANK(StartDate)=TRUE,"",IF(AR51=NA,"",IF(StartDate&gt;TODAY(),"",AT51-AS51)))</f>
        <v/>
      </c>
      <c r="AV51" s="316" t="str">
        <f t="shared" si="2"/>
        <v/>
      </c>
      <c r="AW51" s="240" t="str">
        <f>IF(ISBLANK(StartDate)=TRUE,"",X51+AT51)</f>
        <v/>
      </c>
      <c r="AX51" s="292" t="s">
        <v>52</v>
      </c>
      <c r="AY51" s="261" t="str">
        <f>AW51</f>
        <v/>
      </c>
      <c r="AZ51" s="246"/>
      <c r="BA51" s="247"/>
      <c r="BB51" s="246"/>
      <c r="BC51" s="323"/>
      <c r="BD51" s="204" t="s">
        <v>51</v>
      </c>
      <c r="BE51" s="350"/>
      <c r="BF51" s="351"/>
      <c r="BK51" s="3"/>
      <c r="BL51" s="2"/>
      <c r="BM51" s="2"/>
    </row>
    <row r="52" spans="1:65" ht="18.75" customHeight="1" thickTop="1" thickBot="1" x14ac:dyDescent="0.25">
      <c r="A52" s="355">
        <f>B52</f>
        <v>43405</v>
      </c>
      <c r="B52" s="51">
        <f>EDATE($A$11,10)</f>
        <v>43405</v>
      </c>
      <c r="C52" s="50" t="str">
        <f>IF(ISBLANK(StartDate)=TRUE,"",IF(StartDate&gt;B52,NA,IF(StartDate=B52,0,5)))</f>
        <v/>
      </c>
      <c r="D52" s="73" t="s">
        <v>12</v>
      </c>
      <c r="E52" s="207" t="str">
        <f>IF(ISBLANK(StartDate)=TRUE,"",IF(C52=NA,"",IF(AR48=NA,0,BC48)))</f>
        <v/>
      </c>
      <c r="F52" s="111"/>
      <c r="G52" s="100"/>
      <c r="H52" s="99"/>
      <c r="I52" s="99"/>
      <c r="J52" s="100"/>
      <c r="K52" s="100"/>
      <c r="L52" s="100"/>
      <c r="M52" s="100"/>
      <c r="N52" s="100"/>
      <c r="O52" s="99"/>
      <c r="P52" s="99"/>
      <c r="Q52" s="266"/>
      <c r="R52" s="107"/>
      <c r="S52" s="107"/>
      <c r="T52" s="108"/>
      <c r="U52" s="208">
        <f t="shared" si="4"/>
        <v>43419</v>
      </c>
      <c r="V52" s="209" t="str">
        <f>IF(ISBLANK(StartDate)=TRUE,"",IF(StartDate&gt;U52,NA,IF(StartDate=U52,0,5)))</f>
        <v/>
      </c>
      <c r="W52" s="90" t="str">
        <f t="shared" si="0"/>
        <v/>
      </c>
      <c r="X52" s="75" t="str">
        <f>IF(V52=NA,NA,IF(C52=NA,0,V52))</f>
        <v/>
      </c>
      <c r="Y52" s="91" t="str">
        <f>IF(ISBLANK(StartDate)=TRUE,"",IF(V52=NA,"",IF(C52=NA,0,E52-W52+X52)))</f>
        <v/>
      </c>
      <c r="Z52" s="304">
        <f>A52+15</f>
        <v>43420</v>
      </c>
      <c r="AA52" s="106"/>
      <c r="AB52" s="99"/>
      <c r="AC52" s="99"/>
      <c r="AD52" s="100"/>
      <c r="AE52" s="107"/>
      <c r="AF52" s="106"/>
      <c r="AG52" s="266"/>
      <c r="AH52" s="266"/>
      <c r="AI52" s="99"/>
      <c r="AJ52" s="99"/>
      <c r="AK52" s="100"/>
      <c r="AL52" s="106"/>
      <c r="AM52" s="106"/>
      <c r="AN52" s="106"/>
      <c r="AO52" s="109"/>
      <c r="AP52" s="113"/>
      <c r="AQ52" s="237">
        <f t="shared" si="5"/>
        <v>43434</v>
      </c>
      <c r="AR52" s="290" t="str">
        <f>IF(ISBLANK(StartDate)=TRUE,"",IF(StartDate&gt;AQ52,NA,IF(StartDate=AQ52,0,5)))</f>
        <v/>
      </c>
      <c r="AS52" s="93" t="str">
        <f t="shared" si="1"/>
        <v/>
      </c>
      <c r="AT52" s="75" t="str">
        <f>IF(ISBLANK(StartDate)=TRUE,"",IF(AR52=NA,NA,IF(V52=NA,0,AR52)))</f>
        <v/>
      </c>
      <c r="AU52" s="310" t="str">
        <f>IF(ISBLANK(StartDate)=TRUE,"",IF(AR52=NA,"",IF(Y52=NA,0,Y52-AS52+AT52)))</f>
        <v/>
      </c>
      <c r="AV52" s="313" t="str">
        <f t="shared" si="2"/>
        <v/>
      </c>
      <c r="AW52" s="75" t="str">
        <f>IF(ISBLANK(StartDate)=TRUE,"",IF(AT52=NA,NA,IF(X52=NA,AT52,AT52+X52)))</f>
        <v/>
      </c>
      <c r="AX52" s="94" t="str">
        <f t="shared" si="3"/>
        <v/>
      </c>
      <c r="AY52" s="95" t="str">
        <f>IF(AX52="","",IF(AX52&gt;720,AX52-720,0))</f>
        <v/>
      </c>
      <c r="AZ52" s="161"/>
      <c r="BA52" s="324" t="str">
        <f>IF(AX52="","",BA48+AY52)</f>
        <v/>
      </c>
      <c r="BB52" s="310" t="str">
        <f>IF(AZ52="","",BB48+AZ52)</f>
        <v/>
      </c>
      <c r="BC52" s="320" t="str">
        <f>IF(ISBLANK(StartDate)=TRUE,"",AX52-AY52)</f>
        <v/>
      </c>
      <c r="BD52" s="96" t="s">
        <v>12</v>
      </c>
      <c r="BE52" s="340"/>
      <c r="BF52" s="341"/>
      <c r="BI52" s="175" t="str">
        <f>BA52</f>
        <v/>
      </c>
      <c r="BJ52" s="175" t="str">
        <f>BA53</f>
        <v/>
      </c>
      <c r="BK52" s="3" t="str">
        <f>IF(BI52="","",BC52)</f>
        <v/>
      </c>
      <c r="BL52" s="2" t="str">
        <f>IF(BJ52="","",BC53)</f>
        <v/>
      </c>
      <c r="BM52" s="2" t="str">
        <f t="shared" ref="BM52" si="15">IF(BI52="","",BC55)</f>
        <v/>
      </c>
    </row>
    <row r="53" spans="1:65" s="4" customFormat="1" ht="18.75" customHeight="1" thickBot="1" x14ac:dyDescent="0.25">
      <c r="A53" s="355"/>
      <c r="B53" s="51">
        <f>EDATE($A$11,10)</f>
        <v>43405</v>
      </c>
      <c r="C53" s="50" t="str">
        <f>IF(ISBLANK(StartDate)=TRUE,"",IF(StartDate&gt;B53,NA,IF(B53&lt;FiveYr,5,IF(B53&lt;TenYr,6,7))))</f>
        <v/>
      </c>
      <c r="D53" s="74" t="s">
        <v>13</v>
      </c>
      <c r="E53" s="166" t="str">
        <f>IF(ISBLANK(StartDate)=TRUE,"",IF(C53=NA,"",IF(AR49=NA,0,BC49)))</f>
        <v/>
      </c>
      <c r="F53" s="114"/>
      <c r="G53" s="116"/>
      <c r="H53" s="115"/>
      <c r="I53" s="115"/>
      <c r="J53" s="116"/>
      <c r="K53" s="116"/>
      <c r="L53" s="116"/>
      <c r="M53" s="116"/>
      <c r="N53" s="116"/>
      <c r="O53" s="115"/>
      <c r="P53" s="115"/>
      <c r="Q53" s="263"/>
      <c r="R53" s="116"/>
      <c r="S53" s="116"/>
      <c r="T53" s="118"/>
      <c r="U53" s="210">
        <f t="shared" si="4"/>
        <v>43419</v>
      </c>
      <c r="V53" s="121" t="str">
        <f>IF(ISBLANK(StartDate)=TRUE,"",IF(StartDate&gt;U53,NA,IF(U53&lt;FiveYr,5,IF(U53&lt;TenYr,6,7))))</f>
        <v/>
      </c>
      <c r="W53" s="76" t="str">
        <f t="shared" si="0"/>
        <v/>
      </c>
      <c r="X53" s="77" t="str">
        <f>IF(V53=NA,NA,IF(C53=NA,0,V53))</f>
        <v/>
      </c>
      <c r="Y53" s="78" t="str">
        <f>IF(ISBLANK(StartDate)=TRUE,"",IF(V53=NA,"",IF(C53=NA,0,E53-W53+X53)))</f>
        <v/>
      </c>
      <c r="Z53" s="301"/>
      <c r="AA53" s="114"/>
      <c r="AB53" s="115"/>
      <c r="AC53" s="115"/>
      <c r="AD53" s="116"/>
      <c r="AE53" s="116"/>
      <c r="AF53" s="171"/>
      <c r="AG53" s="263"/>
      <c r="AH53" s="263"/>
      <c r="AI53" s="115"/>
      <c r="AJ53" s="115"/>
      <c r="AK53" s="116"/>
      <c r="AL53" s="114"/>
      <c r="AM53" s="114"/>
      <c r="AN53" s="114"/>
      <c r="AO53" s="117"/>
      <c r="AP53" s="125"/>
      <c r="AQ53" s="237">
        <f t="shared" si="5"/>
        <v>43434</v>
      </c>
      <c r="AR53" s="291" t="str">
        <f>IF(ISBLANK(StartDate)=TRUE,"",IF(StartDate&gt;AQ53,NA,IF(AQ53&lt;FiveYr,5,IF(AQ53&lt;TenYr,6,7))))</f>
        <v/>
      </c>
      <c r="AS53" s="83" t="str">
        <f t="shared" si="1"/>
        <v/>
      </c>
      <c r="AT53" s="77" t="str">
        <f>IF(ISBLANK(StartDate)=TRUE,"",IF(AR53=NA,NA,IF(V53=NA,0,AR53)))</f>
        <v/>
      </c>
      <c r="AU53" s="198" t="str">
        <f>IF(ISBLANK(StartDate)=TRUE,"",IF(AR53=NA,"",IF(Y53=NA,0,Y53-AS53+AT53)))</f>
        <v/>
      </c>
      <c r="AV53" s="314" t="str">
        <f t="shared" si="2"/>
        <v/>
      </c>
      <c r="AW53" s="77" t="str">
        <f>IF(ISBLANK(StartDate)=TRUE,"",IF(AT53=NA,NA,IF(X53=NA,AT53,AT53+X53)))</f>
        <v/>
      </c>
      <c r="AX53" s="84" t="str">
        <f t="shared" si="3"/>
        <v/>
      </c>
      <c r="AY53" s="85" t="str">
        <f>IF(AX53="","",IF(AX53&gt;360,AX53-360,0))</f>
        <v/>
      </c>
      <c r="AZ53" s="160"/>
      <c r="BA53" s="325" t="str">
        <f>IF(AX53="","",BA49+AY53)</f>
        <v/>
      </c>
      <c r="BB53" s="198" t="str">
        <f>IF(AZ53="","",BB49+AZ53)</f>
        <v/>
      </c>
      <c r="BC53" s="321" t="str">
        <f>IF(ISBLANK(StartDate)=TRUE,"",AX53-AY53)</f>
        <v/>
      </c>
      <c r="BD53" s="87" t="s">
        <v>13</v>
      </c>
      <c r="BE53" s="342"/>
      <c r="BF53" s="343"/>
      <c r="BK53" s="3"/>
      <c r="BL53" s="2"/>
      <c r="BM53" s="2"/>
    </row>
    <row r="54" spans="1:65" s="4" customFormat="1" ht="18.75" customHeight="1" thickBot="1" x14ac:dyDescent="0.25">
      <c r="A54" s="355"/>
      <c r="B54" s="51">
        <f>EDATE($A$11,10)</f>
        <v>43405</v>
      </c>
      <c r="C54" s="50" t="str">
        <f>IF(ISBLANK(StartDate)=TRUE,"",IF(StartDate&gt;B54,NA,IF(StartDate=B54,0,0)))</f>
        <v/>
      </c>
      <c r="D54" s="199" t="s">
        <v>21</v>
      </c>
      <c r="E54" s="205" t="str">
        <f>IF(ISBLANK(StartDate)=TRUE,"",IF(C54=NA,"",IF(AR50=NA,0,AX50)))</f>
        <v/>
      </c>
      <c r="F54" s="218"/>
      <c r="G54" s="213"/>
      <c r="H54" s="214"/>
      <c r="I54" s="214"/>
      <c r="J54" s="213"/>
      <c r="K54" s="213"/>
      <c r="L54" s="213"/>
      <c r="M54" s="213"/>
      <c r="N54" s="213"/>
      <c r="O54" s="214"/>
      <c r="P54" s="214"/>
      <c r="Q54" s="264"/>
      <c r="R54" s="213"/>
      <c r="S54" s="213"/>
      <c r="T54" s="220"/>
      <c r="U54" s="216">
        <f t="shared" si="4"/>
        <v>43419</v>
      </c>
      <c r="V54" s="217" t="str">
        <f>IF(ISBLANK(StartDate)=TRUE,"",IF(StartDate&gt;U54,NA,IF(StartDate=U54,0,0)))</f>
        <v/>
      </c>
      <c r="W54" s="79" t="str">
        <f>IF(ISBLANK(StartDate)=TRUE,"",IF(V54=NA,"",IF(C54=NA,0,SUM(F54:T54))))</f>
        <v/>
      </c>
      <c r="X54" s="80" t="str">
        <f>IF(ISBLANK(StartDate)=TRUE,"",NA)</f>
        <v/>
      </c>
      <c r="Y54" s="81" t="str">
        <f>IF(ISBLANK(StartDate)=TRUE,"",IF(V54=NA,"",IF(C54=NA,0,E54-W54)))</f>
        <v/>
      </c>
      <c r="Z54" s="302"/>
      <c r="AA54" s="218"/>
      <c r="AB54" s="214"/>
      <c r="AC54" s="214"/>
      <c r="AD54" s="213"/>
      <c r="AE54" s="213"/>
      <c r="AF54" s="230"/>
      <c r="AG54" s="264"/>
      <c r="AH54" s="264"/>
      <c r="AI54" s="214"/>
      <c r="AJ54" s="214"/>
      <c r="AK54" s="213"/>
      <c r="AL54" s="218"/>
      <c r="AM54" s="218"/>
      <c r="AN54" s="218"/>
      <c r="AO54" s="227"/>
      <c r="AP54" s="228"/>
      <c r="AQ54" s="237">
        <f t="shared" si="5"/>
        <v>43434</v>
      </c>
      <c r="AR54" s="289" t="str">
        <f>IF(ISBLANK(StartDate)=TRUE,"",IF(StartDate&gt;AQ54,NA,IF(StartDate=AQ54,0,0)))</f>
        <v/>
      </c>
      <c r="AS54" s="88" t="str">
        <f>IF(ISBLANK(StartDate)=TRUE,"",IF(AR54=NA,"",IF(Y54=NA,0,SUM(AA54:AP54))))</f>
        <v/>
      </c>
      <c r="AT54" s="80" t="str">
        <f>IF(ISBLANK(StartDate)=TRUE,"",NA)</f>
        <v/>
      </c>
      <c r="AU54" s="311" t="str">
        <f>IF(ISBLANK(StartDate)=TRUE,"",IF(AR54=NA,"",IF(Y54=NA,0,Y54-AS54)))</f>
        <v/>
      </c>
      <c r="AV54" s="315" t="str">
        <f t="shared" si="2"/>
        <v/>
      </c>
      <c r="AW54" s="80" t="str">
        <f>IF(ISBLANK(StartDate)=TRUE,"",NA)</f>
        <v/>
      </c>
      <c r="AX54" s="89"/>
      <c r="AY54" s="221"/>
      <c r="AZ54" s="222"/>
      <c r="BA54" s="223"/>
      <c r="BB54" s="317"/>
      <c r="BC54" s="322" t="str">
        <f>IF(ISBLANK(StartDate)=TRUE,"",AX54)</f>
        <v/>
      </c>
      <c r="BD54" s="92" t="s">
        <v>21</v>
      </c>
      <c r="BE54" s="180"/>
      <c r="BF54" s="181"/>
      <c r="BK54" s="3"/>
      <c r="BL54" s="2"/>
      <c r="BM54" s="2"/>
    </row>
    <row r="55" spans="1:65" s="4" customFormat="1" ht="18.75" customHeight="1" thickBot="1" x14ac:dyDescent="0.25">
      <c r="A55" s="355"/>
      <c r="B55" s="51">
        <f>EDATE($A$11,10)</f>
        <v>43405</v>
      </c>
      <c r="C55" s="14">
        <v>0</v>
      </c>
      <c r="D55" s="200" t="s">
        <v>51</v>
      </c>
      <c r="E55" s="206" t="s">
        <v>53</v>
      </c>
      <c r="F55" s="259"/>
      <c r="G55" s="234"/>
      <c r="H55" s="235"/>
      <c r="I55" s="235"/>
      <c r="J55" s="233"/>
      <c r="K55" s="233"/>
      <c r="L55" s="233"/>
      <c r="M55" s="233"/>
      <c r="N55" s="233"/>
      <c r="O55" s="235"/>
      <c r="P55" s="235"/>
      <c r="Q55" s="265"/>
      <c r="R55" s="233"/>
      <c r="S55" s="233"/>
      <c r="T55" s="243"/>
      <c r="U55" s="237">
        <f t="shared" si="4"/>
        <v>43419</v>
      </c>
      <c r="V55" s="238" t="str">
        <f>IF(ISBLANK(StartDate)=TRUE,"",IF(StartDate&gt;U55,NA,IF(StartDate=U55,0,8)))</f>
        <v/>
      </c>
      <c r="W55" s="239" t="str">
        <f t="shared" si="0"/>
        <v/>
      </c>
      <c r="X55" s="240" t="str">
        <f>V55</f>
        <v/>
      </c>
      <c r="Y55" s="241" t="str">
        <f ca="1">IF(ISBLANK(StartDate)=TRUE,"",IF(V55=NA,"",IF(StartDate&gt;TODAY(),"",X55-W55)))</f>
        <v/>
      </c>
      <c r="Z55" s="303"/>
      <c r="AA55" s="234"/>
      <c r="AB55" s="235"/>
      <c r="AC55" s="235"/>
      <c r="AD55" s="233"/>
      <c r="AE55" s="233"/>
      <c r="AF55" s="233"/>
      <c r="AG55" s="265"/>
      <c r="AH55" s="265"/>
      <c r="AI55" s="235"/>
      <c r="AJ55" s="235"/>
      <c r="AK55" s="233"/>
      <c r="AL55" s="233"/>
      <c r="AM55" s="233"/>
      <c r="AN55" s="233"/>
      <c r="AO55" s="242"/>
      <c r="AP55" s="258"/>
      <c r="AQ55" s="237">
        <f t="shared" si="5"/>
        <v>43434</v>
      </c>
      <c r="AR55" s="289" t="str">
        <f>IF(ISBLANK(StartDate)=TRUE,"",IF(StartDate&gt;AQ55,NA,IF(StartDate=AQ55,0,16)))</f>
        <v/>
      </c>
      <c r="AS55" s="244" t="str">
        <f>IF(ISBLANK(StartDate)=TRUE,"",IF(AR55=NA,"",IF(Y55=NA,0,SUM(AA55:AP55))))</f>
        <v/>
      </c>
      <c r="AT55" s="240" t="str">
        <f>AR55</f>
        <v/>
      </c>
      <c r="AU55" s="312" t="str">
        <f ca="1">IF(ISBLANK(StartDate)=TRUE,"",IF(AR55=NA,"",IF(StartDate&gt;TODAY(),"",AT55-AS55)))</f>
        <v/>
      </c>
      <c r="AV55" s="316" t="str">
        <f t="shared" si="2"/>
        <v/>
      </c>
      <c r="AW55" s="240" t="str">
        <f>IF(ISBLANK(StartDate)=TRUE,"",X55+AT55)</f>
        <v/>
      </c>
      <c r="AX55" s="292" t="s">
        <v>52</v>
      </c>
      <c r="AY55" s="261" t="str">
        <f>AW55</f>
        <v/>
      </c>
      <c r="AZ55" s="246"/>
      <c r="BA55" s="247"/>
      <c r="BB55" s="246"/>
      <c r="BC55" s="323"/>
      <c r="BD55" s="204" t="s">
        <v>51</v>
      </c>
      <c r="BE55" s="350"/>
      <c r="BF55" s="351"/>
      <c r="BK55" s="3"/>
      <c r="BL55" s="2"/>
      <c r="BM55" s="2"/>
    </row>
    <row r="56" spans="1:65" ht="18.75" customHeight="1" thickTop="1" thickBot="1" x14ac:dyDescent="0.25">
      <c r="A56" s="355">
        <f>B56</f>
        <v>43435</v>
      </c>
      <c r="B56" s="51">
        <f t="shared" ref="B56:B59" si="16">EDATE($A$11,11)</f>
        <v>43435</v>
      </c>
      <c r="C56" s="50" t="str">
        <f>IF(ISBLANK(StartDate)=TRUE,"",IF(StartDate&gt;B56,NA,IF(StartDate=B56,0,5)))</f>
        <v/>
      </c>
      <c r="D56" s="73" t="s">
        <v>12</v>
      </c>
      <c r="E56" s="207" t="str">
        <f>IF(ISBLANK(StartDate)=TRUE,"",IF(C56=NA,"",IF(AR52=NA,0,BC52)))</f>
        <v/>
      </c>
      <c r="F56" s="99"/>
      <c r="G56" s="99"/>
      <c r="H56" s="100"/>
      <c r="I56" s="107"/>
      <c r="J56" s="106"/>
      <c r="K56" s="107"/>
      <c r="L56" s="106"/>
      <c r="M56" s="99"/>
      <c r="N56" s="99"/>
      <c r="O56" s="100"/>
      <c r="P56" s="107"/>
      <c r="Q56" s="106"/>
      <c r="R56" s="107"/>
      <c r="S56" s="107"/>
      <c r="T56" s="99"/>
      <c r="U56" s="208">
        <f t="shared" si="4"/>
        <v>43449</v>
      </c>
      <c r="V56" s="209" t="str">
        <f>IF(ISBLANK(StartDate)=TRUE,"",IF(StartDate&gt;U56,NA,IF(StartDate=U56,0,5)))</f>
        <v/>
      </c>
      <c r="W56" s="90" t="str">
        <f t="shared" si="0"/>
        <v/>
      </c>
      <c r="X56" s="75" t="str">
        <f>IF(V56=NA,NA,IF(C56=NA,0,V56))</f>
        <v/>
      </c>
      <c r="Y56" s="91" t="str">
        <f>IF(ISBLANK(StartDate)=TRUE,"",IF(V56=NA,"",IF(C56=NA,0,E56-W56+X56)))</f>
        <v/>
      </c>
      <c r="Z56" s="304">
        <f>A56+15</f>
        <v>43450</v>
      </c>
      <c r="AA56" s="99"/>
      <c r="AB56" s="100"/>
      <c r="AC56" s="107"/>
      <c r="AD56" s="106"/>
      <c r="AE56" s="107"/>
      <c r="AF56" s="106"/>
      <c r="AG56" s="99"/>
      <c r="AH56" s="99"/>
      <c r="AI56" s="266"/>
      <c r="AJ56" s="266"/>
      <c r="AK56" s="107"/>
      <c r="AL56" s="107"/>
      <c r="AM56" s="106"/>
      <c r="AN56" s="99"/>
      <c r="AO56" s="112"/>
      <c r="AP56" s="100"/>
      <c r="AQ56" s="237">
        <f t="shared" si="5"/>
        <v>43465</v>
      </c>
      <c r="AR56" s="290" t="str">
        <f>IF(ISBLANK(StartDate)=TRUE,"",IF(StartDate&gt;AQ56,NA,IF(StartDate=AQ56,0,5)))</f>
        <v/>
      </c>
      <c r="AS56" s="93" t="str">
        <f t="shared" si="1"/>
        <v/>
      </c>
      <c r="AT56" s="75" t="str">
        <f>IF(ISBLANK(StartDate)=TRUE,"",IF(AR56=NA,NA,IF(V56=NA,0,AR56)))</f>
        <v/>
      </c>
      <c r="AU56" s="310" t="str">
        <f>IF(ISBLANK(StartDate)=TRUE,"",IF(AR56=NA,"",IF(Y56=NA,0,Y56-AS56+AT56)))</f>
        <v/>
      </c>
      <c r="AV56" s="313" t="str">
        <f t="shared" si="2"/>
        <v/>
      </c>
      <c r="AW56" s="75" t="str">
        <f>IF(ISBLANK(StartDate)=TRUE,"",IF(AT56=NA,NA,IF(X56=NA,AT56,AT56+X56)))</f>
        <v/>
      </c>
      <c r="AX56" s="94" t="str">
        <f t="shared" si="3"/>
        <v/>
      </c>
      <c r="AY56" s="95" t="str">
        <f>IF(AX56="","",IF(AX56&gt;720,AX56-720,0))</f>
        <v/>
      </c>
      <c r="AZ56" s="161"/>
      <c r="BA56" s="324" t="str">
        <f>IF(AX56="","",BA52+AY56)</f>
        <v/>
      </c>
      <c r="BB56" s="310" t="str">
        <f>IF(AZ56="","",BB52+AZ56)</f>
        <v/>
      </c>
      <c r="BC56" s="320" t="str">
        <f>IF(ISBLANK(StartDate)=TRUE,"",AX56-AY56)</f>
        <v/>
      </c>
      <c r="BD56" s="96" t="s">
        <v>12</v>
      </c>
      <c r="BE56" s="340"/>
      <c r="BF56" s="341"/>
      <c r="BI56" s="175" t="str">
        <f>BA56</f>
        <v/>
      </c>
      <c r="BJ56" s="175" t="str">
        <f>BA57</f>
        <v/>
      </c>
      <c r="BK56" s="3" t="str">
        <f>IF(BI56="","",BC56)</f>
        <v/>
      </c>
      <c r="BL56" s="2" t="str">
        <f>IF(BJ56="","",BC57)</f>
        <v/>
      </c>
      <c r="BM56" s="2" t="str">
        <f t="shared" ref="BM56" si="17">IF(BI56="","",BC59)</f>
        <v/>
      </c>
    </row>
    <row r="57" spans="1:65" s="4" customFormat="1" ht="18.75" customHeight="1" thickBot="1" x14ac:dyDescent="0.25">
      <c r="A57" s="355"/>
      <c r="B57" s="51">
        <f t="shared" si="16"/>
        <v>43435</v>
      </c>
      <c r="C57" s="50" t="str">
        <f>IF(ISBLANK(StartDate)=TRUE,"",IF(StartDate&gt;B57,NA,IF(B57&lt;FiveYr,5,IF(B57&lt;TenYr,6,7))))</f>
        <v/>
      </c>
      <c r="D57" s="74" t="s">
        <v>13</v>
      </c>
      <c r="E57" s="166" t="str">
        <f>IF(ISBLANK(StartDate)=TRUE,"",IF(C57=NA,"",IF(AR53=NA,0,BC53)))</f>
        <v/>
      </c>
      <c r="F57" s="214"/>
      <c r="G57" s="214"/>
      <c r="H57" s="116"/>
      <c r="I57" s="213"/>
      <c r="J57" s="218"/>
      <c r="K57" s="213"/>
      <c r="L57" s="218"/>
      <c r="M57" s="214"/>
      <c r="N57" s="214"/>
      <c r="O57" s="116"/>
      <c r="P57" s="213"/>
      <c r="Q57" s="218"/>
      <c r="R57" s="213"/>
      <c r="S57" s="213"/>
      <c r="T57" s="214"/>
      <c r="U57" s="216">
        <f t="shared" si="4"/>
        <v>43449</v>
      </c>
      <c r="V57" s="217" t="str">
        <f>IF(ISBLANK(StartDate)=TRUE,"",IF(StartDate&gt;U57,NA,IF(U57&lt;FiveYr,5,IF(U57&lt;TenYr,6,7))))</f>
        <v/>
      </c>
      <c r="W57" s="79" t="str">
        <f t="shared" si="0"/>
        <v/>
      </c>
      <c r="X57" s="80" t="str">
        <f>IF(V57=NA,NA,IF(C57=NA,0,V57))</f>
        <v/>
      </c>
      <c r="Y57" s="81" t="str">
        <f>IF(ISBLANK(StartDate)=TRUE,"",IF(V57=NA,"",IF(C57=NA,0,E57-W57+X57)))</f>
        <v/>
      </c>
      <c r="Z57" s="302"/>
      <c r="AA57" s="214"/>
      <c r="AB57" s="116"/>
      <c r="AC57" s="213"/>
      <c r="AD57" s="218"/>
      <c r="AE57" s="213"/>
      <c r="AF57" s="218"/>
      <c r="AG57" s="214"/>
      <c r="AH57" s="214"/>
      <c r="AI57" s="263"/>
      <c r="AJ57" s="263"/>
      <c r="AK57" s="213"/>
      <c r="AL57" s="213"/>
      <c r="AM57" s="218"/>
      <c r="AN57" s="214"/>
      <c r="AO57" s="229"/>
      <c r="AP57" s="116"/>
      <c r="AQ57" s="237">
        <f t="shared" si="5"/>
        <v>43465</v>
      </c>
      <c r="AR57" s="291" t="str">
        <f>IF(ISBLANK(StartDate)=TRUE,"",IF(StartDate&gt;AQ57,NA,IF(AQ57&lt;FiveYr,5,IF(AQ57&lt;TenYr,6,7))))</f>
        <v/>
      </c>
      <c r="AS57" s="83" t="str">
        <f t="shared" si="1"/>
        <v/>
      </c>
      <c r="AT57" s="77" t="str">
        <f>IF(ISBLANK(StartDate)=TRUE,"",IF(AR57=NA,NA,IF(V57=NA,0,AR57)))</f>
        <v/>
      </c>
      <c r="AU57" s="198" t="str">
        <f>IF(ISBLANK(StartDate)=TRUE,"",IF(AR57=NA,"",IF(Y57=NA,0,Y57-AS57+AT57)))</f>
        <v/>
      </c>
      <c r="AV57" s="315" t="str">
        <f t="shared" si="2"/>
        <v/>
      </c>
      <c r="AW57" s="77" t="str">
        <f>IF(ISBLANK(StartDate)=TRUE,"",IF(AT57=NA,NA,IF(X57=NA,AT57,AT57+X57)))</f>
        <v/>
      </c>
      <c r="AX57" s="89" t="str">
        <f t="shared" si="3"/>
        <v/>
      </c>
      <c r="AY57" s="85" t="str">
        <f>IF(AX57="","",IF(AX57&gt;360,AX57-360,0))</f>
        <v/>
      </c>
      <c r="AZ57" s="231"/>
      <c r="BA57" s="325" t="str">
        <f>IF(AX57="","",BA53+AY57)</f>
        <v/>
      </c>
      <c r="BB57" s="311" t="str">
        <f>IF(AZ57="","",BB53+AZ57)</f>
        <v/>
      </c>
      <c r="BC57" s="321" t="str">
        <f>IF(ISBLANK(StartDate)=TRUE,"",AX57-AY57)</f>
        <v/>
      </c>
      <c r="BD57" s="87" t="s">
        <v>13</v>
      </c>
      <c r="BE57" s="342"/>
      <c r="BF57" s="343"/>
      <c r="BK57" s="3"/>
      <c r="BL57" s="2"/>
      <c r="BM57" s="2"/>
    </row>
    <row r="58" spans="1:65" s="4" customFormat="1" ht="18.75" customHeight="1" thickBot="1" x14ac:dyDescent="0.25">
      <c r="A58" s="355"/>
      <c r="B58" s="51">
        <f t="shared" si="16"/>
        <v>43435</v>
      </c>
      <c r="C58" s="50" t="str">
        <f>IF(ISBLANK(StartDate)=TRUE,"",IF(StartDate&gt;B58,NA,IF(StartDate=B58,0,0)))</f>
        <v/>
      </c>
      <c r="D58" s="199" t="s">
        <v>21</v>
      </c>
      <c r="E58" s="205" t="str">
        <f>IF(ISBLANK(StartDate)=TRUE,"",IF(C58=NA,"",IF(AR54=NA,0,AX54)))</f>
        <v/>
      </c>
      <c r="F58" s="214"/>
      <c r="G58" s="214"/>
      <c r="H58" s="213"/>
      <c r="I58" s="213"/>
      <c r="J58" s="218"/>
      <c r="K58" s="213"/>
      <c r="L58" s="218"/>
      <c r="M58" s="214"/>
      <c r="N58" s="214"/>
      <c r="O58" s="213"/>
      <c r="P58" s="213"/>
      <c r="Q58" s="218"/>
      <c r="R58" s="213"/>
      <c r="S58" s="213"/>
      <c r="T58" s="214"/>
      <c r="U58" s="216">
        <f t="shared" si="4"/>
        <v>43449</v>
      </c>
      <c r="V58" s="217" t="str">
        <f>IF(ISBLANK(StartDate)=TRUE,"",IF(StartDate&gt;U58,NA,IF(StartDate=U58,0,0)))</f>
        <v/>
      </c>
      <c r="W58" s="79" t="str">
        <f>IF(ISBLANK(StartDate)=TRUE,"",IF(V58=NA,"",IF(C58=NA,0,SUM(F58:T58))))</f>
        <v/>
      </c>
      <c r="X58" s="80" t="str">
        <f>IF(ISBLANK(StartDate)=TRUE,"",NA)</f>
        <v/>
      </c>
      <c r="Y58" s="81" t="str">
        <f>IF(ISBLANK(StartDate)=TRUE,"",IF(V58=NA,"",IF(C58=NA,0,E58-W58)))</f>
        <v/>
      </c>
      <c r="Z58" s="302"/>
      <c r="AA58" s="214"/>
      <c r="AB58" s="213"/>
      <c r="AC58" s="213"/>
      <c r="AD58" s="218"/>
      <c r="AE58" s="213"/>
      <c r="AF58" s="218"/>
      <c r="AG58" s="214"/>
      <c r="AH58" s="214"/>
      <c r="AI58" s="264"/>
      <c r="AJ58" s="264"/>
      <c r="AK58" s="213"/>
      <c r="AL58" s="213"/>
      <c r="AM58" s="218"/>
      <c r="AN58" s="214"/>
      <c r="AO58" s="229"/>
      <c r="AP58" s="213"/>
      <c r="AQ58" s="237">
        <f t="shared" si="5"/>
        <v>43465</v>
      </c>
      <c r="AR58" s="217" t="str">
        <f>IF(ISBLANK(StartDate)=TRUE,"",IF(StartDate&gt;AQ58,NA,IF(StartDate=AQ58,0,0)))</f>
        <v/>
      </c>
      <c r="AS58" s="88" t="str">
        <f>IF(ISBLANK(StartDate)=TRUE,"",IF(AR58=NA,"",IF(Y58=NA,0,SUM(AA58:AP58))))</f>
        <v/>
      </c>
      <c r="AT58" s="80" t="str">
        <f>IF(ISBLANK(StartDate)=TRUE,"",NA)</f>
        <v/>
      </c>
      <c r="AU58" s="311" t="str">
        <f>IF(ISBLANK(StartDate)=TRUE,"",IF(AR58=NA,"",IF(Y58=NA,0,Y58-AS58)))</f>
        <v/>
      </c>
      <c r="AV58" s="315" t="str">
        <f t="shared" si="2"/>
        <v/>
      </c>
      <c r="AW58" s="80" t="str">
        <f>IF(ISBLANK(StartDate)=TRUE,"",NA)</f>
        <v/>
      </c>
      <c r="AX58" s="89"/>
      <c r="AY58" s="221"/>
      <c r="AZ58" s="222"/>
      <c r="BA58" s="223"/>
      <c r="BB58" s="317"/>
      <c r="BC58" s="322" t="str">
        <f>IF(ISBLANK(StartDate)=TRUE,"",AX58)</f>
        <v/>
      </c>
      <c r="BD58" s="92" t="s">
        <v>21</v>
      </c>
      <c r="BE58" s="180"/>
      <c r="BF58" s="181"/>
      <c r="BK58" s="3"/>
      <c r="BL58" s="2"/>
      <c r="BM58" s="2"/>
    </row>
    <row r="59" spans="1:65" s="4" customFormat="1" ht="18.75" customHeight="1" thickBot="1" x14ac:dyDescent="0.25">
      <c r="A59" s="355"/>
      <c r="B59" s="55">
        <f t="shared" si="16"/>
        <v>43435</v>
      </c>
      <c r="C59" s="14">
        <v>0</v>
      </c>
      <c r="D59" s="200" t="s">
        <v>51</v>
      </c>
      <c r="E59" s="206" t="s">
        <v>53</v>
      </c>
      <c r="F59" s="235"/>
      <c r="G59" s="235"/>
      <c r="H59" s="233"/>
      <c r="I59" s="233"/>
      <c r="J59" s="233"/>
      <c r="K59" s="233"/>
      <c r="L59" s="233"/>
      <c r="M59" s="235"/>
      <c r="N59" s="235"/>
      <c r="O59" s="233"/>
      <c r="P59" s="233"/>
      <c r="Q59" s="233"/>
      <c r="R59" s="233"/>
      <c r="S59" s="233"/>
      <c r="T59" s="235"/>
      <c r="U59" s="237">
        <f t="shared" si="4"/>
        <v>43449</v>
      </c>
      <c r="V59" s="238" t="str">
        <f>IF(ISBLANK(StartDate)=TRUE,"",IF(StartDate&gt;U59,NA,IF(StartDate=U59,0,0)))</f>
        <v/>
      </c>
      <c r="W59" s="239" t="str">
        <f t="shared" si="0"/>
        <v/>
      </c>
      <c r="X59" s="240" t="str">
        <f>V59</f>
        <v/>
      </c>
      <c r="Y59" s="241" t="str">
        <f ca="1">IF(ISBLANK(StartDate)=TRUE,"",IF(V59=NA,"",IF(StartDate&gt;TODAY(),"",X59-W59)))</f>
        <v/>
      </c>
      <c r="Z59" s="306"/>
      <c r="AA59" s="235"/>
      <c r="AB59" s="233"/>
      <c r="AC59" s="233"/>
      <c r="AD59" s="233"/>
      <c r="AE59" s="233"/>
      <c r="AF59" s="233"/>
      <c r="AG59" s="235"/>
      <c r="AH59" s="235"/>
      <c r="AI59" s="265"/>
      <c r="AJ59" s="265"/>
      <c r="AK59" s="233"/>
      <c r="AL59" s="233"/>
      <c r="AM59" s="233"/>
      <c r="AN59" s="235"/>
      <c r="AO59" s="260"/>
      <c r="AP59" s="233"/>
      <c r="AQ59" s="237">
        <f t="shared" si="5"/>
        <v>43465</v>
      </c>
      <c r="AR59" s="217" t="str">
        <f>IF(ISBLANK(StartDate)=TRUE,"",IF(StartDate&gt;AQ59,NA,IF(StartDate=AQ59,0,16)))</f>
        <v/>
      </c>
      <c r="AS59" s="244" t="str">
        <f>IF(ISBLANK(StartDate)=TRUE,"",IF(AR59=NA,"",IF(Y59=NA,0,SUM(AA59:AP59))))</f>
        <v/>
      </c>
      <c r="AT59" s="240" t="str">
        <f>AR59</f>
        <v/>
      </c>
      <c r="AU59" s="312" t="str">
        <f ca="1">IF(ISBLANK(StartDate)=TRUE,"",IF(AR59=NA,"",IF(StartDate&gt;TODAY(),"",AT59-AS59)))</f>
        <v/>
      </c>
      <c r="AV59" s="261" t="str">
        <f t="shared" si="2"/>
        <v/>
      </c>
      <c r="AW59" s="240" t="str">
        <f>IF(ISBLANK(StartDate)=TRUE,"",X59+AT59)</f>
        <v/>
      </c>
      <c r="AX59" s="292" t="s">
        <v>52</v>
      </c>
      <c r="AY59" s="261" t="str">
        <f>AW59</f>
        <v/>
      </c>
      <c r="AZ59" s="246"/>
      <c r="BA59" s="247"/>
      <c r="BB59" s="246"/>
      <c r="BC59" s="323"/>
      <c r="BD59" s="204" t="s">
        <v>51</v>
      </c>
      <c r="BE59" s="350"/>
      <c r="BF59" s="351"/>
      <c r="BK59" s="3"/>
      <c r="BL59" s="2"/>
      <c r="BM59" s="2"/>
    </row>
    <row r="60" spans="1:65" s="7" customFormat="1" ht="18" customHeight="1" thickBot="1" x14ac:dyDescent="0.25">
      <c r="A60" s="39"/>
      <c r="B60" s="54">
        <f>B59+31</f>
        <v>43466</v>
      </c>
      <c r="C60" s="48"/>
      <c r="D60" s="40"/>
      <c r="E60" s="41"/>
      <c r="F60" s="5">
        <v>1</v>
      </c>
      <c r="G60" s="5">
        <v>2</v>
      </c>
      <c r="H60" s="5">
        <v>3</v>
      </c>
      <c r="I60" s="5">
        <v>4</v>
      </c>
      <c r="J60" s="5">
        <v>5</v>
      </c>
      <c r="K60" s="5">
        <v>6</v>
      </c>
      <c r="L60" s="5">
        <v>7</v>
      </c>
      <c r="M60" s="5">
        <v>8</v>
      </c>
      <c r="N60" s="5">
        <v>9</v>
      </c>
      <c r="O60" s="5">
        <v>10</v>
      </c>
      <c r="P60" s="5">
        <v>11</v>
      </c>
      <c r="Q60" s="5">
        <v>12</v>
      </c>
      <c r="R60" s="5">
        <v>13</v>
      </c>
      <c r="S60" s="5">
        <v>14</v>
      </c>
      <c r="T60" s="5">
        <v>15</v>
      </c>
      <c r="U60" s="53"/>
      <c r="V60"/>
      <c r="W60" s="35" t="s">
        <v>3</v>
      </c>
      <c r="X60" s="35" t="s">
        <v>3</v>
      </c>
      <c r="Y60" s="35" t="s">
        <v>3</v>
      </c>
      <c r="Z60" s="307"/>
      <c r="AA60" s="5">
        <v>16</v>
      </c>
      <c r="AB60" s="5">
        <v>17</v>
      </c>
      <c r="AC60" s="5">
        <v>18</v>
      </c>
      <c r="AD60" s="5">
        <v>19</v>
      </c>
      <c r="AE60" s="5">
        <v>20</v>
      </c>
      <c r="AF60" s="5">
        <v>21</v>
      </c>
      <c r="AG60" s="5">
        <v>22</v>
      </c>
      <c r="AH60" s="5">
        <v>23</v>
      </c>
      <c r="AI60" s="5">
        <v>24</v>
      </c>
      <c r="AJ60" s="5">
        <v>25</v>
      </c>
      <c r="AK60" s="5">
        <v>26</v>
      </c>
      <c r="AL60" s="5">
        <v>27</v>
      </c>
      <c r="AM60" s="5">
        <v>28</v>
      </c>
      <c r="AN60" s="6">
        <v>29</v>
      </c>
      <c r="AO60" s="5">
        <v>30</v>
      </c>
      <c r="AP60" s="15">
        <v>31</v>
      </c>
      <c r="AQ60" s="53"/>
      <c r="AR60"/>
      <c r="AS60" s="57" t="s">
        <v>3</v>
      </c>
      <c r="AT60" s="16" t="s">
        <v>3</v>
      </c>
      <c r="AU60" s="56" t="s">
        <v>3</v>
      </c>
      <c r="AV60" s="16" t="s">
        <v>3</v>
      </c>
      <c r="AW60" s="16" t="s">
        <v>3</v>
      </c>
      <c r="AX60" s="16" t="s">
        <v>3</v>
      </c>
      <c r="AY60" s="348"/>
      <c r="AZ60" s="348"/>
      <c r="BA60" s="348"/>
      <c r="BB60" s="349"/>
      <c r="BC60" s="13"/>
      <c r="BD60" s="13"/>
      <c r="BK60" s="3"/>
      <c r="BL60" s="3"/>
    </row>
    <row r="61" spans="1:65" x14ac:dyDescent="0.2">
      <c r="B61" s="262">
        <f>B59+31</f>
        <v>43466</v>
      </c>
      <c r="D61" s="62">
        <f>B60+30</f>
        <v>43496</v>
      </c>
      <c r="BD61"/>
      <c r="BE61"/>
    </row>
    <row r="62" spans="1:65" x14ac:dyDescent="0.2">
      <c r="B62" s="262">
        <f>B59+31</f>
        <v>43466</v>
      </c>
      <c r="AL62" s="17"/>
      <c r="BD62"/>
      <c r="BE62"/>
    </row>
    <row r="63" spans="1:65" x14ac:dyDescent="0.2">
      <c r="B63" s="262">
        <f>B59+31</f>
        <v>43466</v>
      </c>
      <c r="AL63" s="18"/>
    </row>
  </sheetData>
  <sheetProtection sheet="1" objects="1" scenarios="1" formatCells="0" selectLockedCells="1"/>
  <mergeCells count="65">
    <mergeCell ref="BE32:BF32"/>
    <mergeCell ref="BE33:BF33"/>
    <mergeCell ref="BE36:BF36"/>
    <mergeCell ref="A16:A19"/>
    <mergeCell ref="A44:A47"/>
    <mergeCell ref="A40:A43"/>
    <mergeCell ref="A36:A39"/>
    <mergeCell ref="A32:A35"/>
    <mergeCell ref="A28:A31"/>
    <mergeCell ref="BE28:BF28"/>
    <mergeCell ref="BE37:BF37"/>
    <mergeCell ref="BE29:BF29"/>
    <mergeCell ref="BE20:BF20"/>
    <mergeCell ref="BE19:BF19"/>
    <mergeCell ref="A52:A55"/>
    <mergeCell ref="A48:A51"/>
    <mergeCell ref="A56:A59"/>
    <mergeCell ref="BE23:BF23"/>
    <mergeCell ref="BE27:BF27"/>
    <mergeCell ref="A24:A27"/>
    <mergeCell ref="A20:A23"/>
    <mergeCell ref="BE55:BF55"/>
    <mergeCell ref="BE31:BF31"/>
    <mergeCell ref="BE35:BF35"/>
    <mergeCell ref="BE40:BF40"/>
    <mergeCell ref="BE41:BF41"/>
    <mergeCell ref="BE44:BF44"/>
    <mergeCell ref="BE21:BF21"/>
    <mergeCell ref="BE24:BF24"/>
    <mergeCell ref="BE25:BF25"/>
    <mergeCell ref="A1:T2"/>
    <mergeCell ref="BE12:BF12"/>
    <mergeCell ref="BE13:BF13"/>
    <mergeCell ref="W10:Y10"/>
    <mergeCell ref="F5:G5"/>
    <mergeCell ref="F4:G4"/>
    <mergeCell ref="F6:G6"/>
    <mergeCell ref="A12:A15"/>
    <mergeCell ref="BA10:BB10"/>
    <mergeCell ref="AS10:AU10"/>
    <mergeCell ref="W1:Y1"/>
    <mergeCell ref="W2:Y2"/>
    <mergeCell ref="H4:L4"/>
    <mergeCell ref="H5:L5"/>
    <mergeCell ref="H6:L6"/>
    <mergeCell ref="P4:P7"/>
    <mergeCell ref="AY60:BB60"/>
    <mergeCell ref="BE39:BF39"/>
    <mergeCell ref="BE43:BF43"/>
    <mergeCell ref="BE47:BF47"/>
    <mergeCell ref="BE45:BF45"/>
    <mergeCell ref="BE51:BF51"/>
    <mergeCell ref="BE59:BF59"/>
    <mergeCell ref="BE57:BF57"/>
    <mergeCell ref="BE48:BF48"/>
    <mergeCell ref="BE49:BF49"/>
    <mergeCell ref="BE52:BF52"/>
    <mergeCell ref="BE53:BF53"/>
    <mergeCell ref="BE56:BF56"/>
    <mergeCell ref="AF4:AF8"/>
    <mergeCell ref="BE16:BF16"/>
    <mergeCell ref="BE17:BF17"/>
    <mergeCell ref="BE15:BF15"/>
    <mergeCell ref="AV10:AZ10"/>
    <mergeCell ref="AL7:AP7"/>
  </mergeCells>
  <phoneticPr fontId="0" type="noConversion"/>
  <conditionalFormatting sqref="AZ41">
    <cfRule type="cellIs" dxfId="87" priority="98" operator="greaterThan">
      <formula>0</formula>
    </cfRule>
  </conditionalFormatting>
  <conditionalFormatting sqref="AZ41">
    <cfRule type="expression" dxfId="86" priority="97" stopIfTrue="1">
      <formula>AY43=""</formula>
    </cfRule>
  </conditionalFormatting>
  <conditionalFormatting sqref="AZ21">
    <cfRule type="cellIs" dxfId="85" priority="108" operator="greaterThan">
      <formula>0</formula>
    </cfRule>
  </conditionalFormatting>
  <conditionalFormatting sqref="AZ21">
    <cfRule type="expression" dxfId="84" priority="107" stopIfTrue="1">
      <formula>AY23=""</formula>
    </cfRule>
  </conditionalFormatting>
  <conditionalFormatting sqref="AZ25">
    <cfRule type="cellIs" dxfId="83" priority="106" operator="greaterThan">
      <formula>0</formula>
    </cfRule>
  </conditionalFormatting>
  <conditionalFormatting sqref="AZ25">
    <cfRule type="expression" dxfId="82" priority="105" stopIfTrue="1">
      <formula>AY27=""</formula>
    </cfRule>
  </conditionalFormatting>
  <conditionalFormatting sqref="AZ29">
    <cfRule type="cellIs" dxfId="81" priority="104" operator="greaterThan">
      <formula>0</formula>
    </cfRule>
  </conditionalFormatting>
  <conditionalFormatting sqref="AZ29">
    <cfRule type="expression" dxfId="80" priority="103" stopIfTrue="1">
      <formula>AY31=""</formula>
    </cfRule>
  </conditionalFormatting>
  <conditionalFormatting sqref="AZ33">
    <cfRule type="cellIs" dxfId="79" priority="102" operator="greaterThan">
      <formula>0</formula>
    </cfRule>
  </conditionalFormatting>
  <conditionalFormatting sqref="AZ33">
    <cfRule type="expression" dxfId="78" priority="101" stopIfTrue="1">
      <formula>AY35=""</formula>
    </cfRule>
  </conditionalFormatting>
  <conditionalFormatting sqref="AZ37">
    <cfRule type="cellIs" dxfId="77" priority="100" operator="greaterThan">
      <formula>0</formula>
    </cfRule>
  </conditionalFormatting>
  <conditionalFormatting sqref="AZ37">
    <cfRule type="expression" dxfId="76" priority="99" stopIfTrue="1">
      <formula>AY39=""</formula>
    </cfRule>
  </conditionalFormatting>
  <conditionalFormatting sqref="AZ45">
    <cfRule type="cellIs" dxfId="75" priority="96" operator="greaterThan">
      <formula>0</formula>
    </cfRule>
  </conditionalFormatting>
  <conditionalFormatting sqref="AZ45">
    <cfRule type="expression" dxfId="74" priority="95" stopIfTrue="1">
      <formula>AY47=""</formula>
    </cfRule>
  </conditionalFormatting>
  <conditionalFormatting sqref="AZ49">
    <cfRule type="cellIs" dxfId="73" priority="94" operator="greaterThan">
      <formula>0</formula>
    </cfRule>
  </conditionalFormatting>
  <conditionalFormatting sqref="AZ49">
    <cfRule type="expression" dxfId="72" priority="93" stopIfTrue="1">
      <formula>AY51=""</formula>
    </cfRule>
  </conditionalFormatting>
  <conditionalFormatting sqref="AZ53">
    <cfRule type="cellIs" dxfId="71" priority="92" operator="greaterThan">
      <formula>0</formula>
    </cfRule>
  </conditionalFormatting>
  <conditionalFormatting sqref="AZ53">
    <cfRule type="expression" dxfId="70" priority="91" stopIfTrue="1">
      <formula>AY55=""</formula>
    </cfRule>
  </conditionalFormatting>
  <conditionalFormatting sqref="AZ57">
    <cfRule type="cellIs" dxfId="69" priority="90" operator="greaterThan">
      <formula>0</formula>
    </cfRule>
  </conditionalFormatting>
  <conditionalFormatting sqref="AZ57">
    <cfRule type="expression" dxfId="68" priority="89" stopIfTrue="1">
      <formula>AY59=""</formula>
    </cfRule>
  </conditionalFormatting>
  <conditionalFormatting sqref="AY20:AZ20">
    <cfRule type="cellIs" dxfId="67" priority="88" operator="greaterThan">
      <formula>0</formula>
    </cfRule>
  </conditionalFormatting>
  <conditionalFormatting sqref="AY20:AZ20">
    <cfRule type="expression" dxfId="66" priority="87" stopIfTrue="1">
      <formula>AX21=""</formula>
    </cfRule>
  </conditionalFormatting>
  <conditionalFormatting sqref="AY24:AZ24">
    <cfRule type="cellIs" dxfId="65" priority="86" operator="greaterThan">
      <formula>0</formula>
    </cfRule>
  </conditionalFormatting>
  <conditionalFormatting sqref="AY24:AZ24">
    <cfRule type="expression" dxfId="64" priority="85" stopIfTrue="1">
      <formula>AX25=""</formula>
    </cfRule>
  </conditionalFormatting>
  <conditionalFormatting sqref="AY28:AZ28">
    <cfRule type="cellIs" dxfId="63" priority="84" operator="greaterThan">
      <formula>0</formula>
    </cfRule>
  </conditionalFormatting>
  <conditionalFormatting sqref="AY28:AZ28">
    <cfRule type="expression" dxfId="62" priority="83" stopIfTrue="1">
      <formula>AX29=""</formula>
    </cfRule>
  </conditionalFormatting>
  <conditionalFormatting sqref="AY32:AZ32">
    <cfRule type="cellIs" dxfId="61" priority="82" operator="greaterThan">
      <formula>0</formula>
    </cfRule>
  </conditionalFormatting>
  <conditionalFormatting sqref="AY32:AZ32">
    <cfRule type="expression" dxfId="60" priority="81" stopIfTrue="1">
      <formula>AX33=""</formula>
    </cfRule>
  </conditionalFormatting>
  <conditionalFormatting sqref="AY36:AZ36">
    <cfRule type="cellIs" dxfId="59" priority="80" operator="greaterThan">
      <formula>0</formula>
    </cfRule>
  </conditionalFormatting>
  <conditionalFormatting sqref="AY36:AZ36">
    <cfRule type="expression" dxfId="58" priority="79" stopIfTrue="1">
      <formula>AX37=""</formula>
    </cfRule>
  </conditionalFormatting>
  <conditionalFormatting sqref="AY40:AZ40">
    <cfRule type="cellIs" dxfId="57" priority="78" operator="greaterThan">
      <formula>0</formula>
    </cfRule>
  </conditionalFormatting>
  <conditionalFormatting sqref="AY40:AZ40">
    <cfRule type="expression" dxfId="56" priority="77" stopIfTrue="1">
      <formula>AX41=""</formula>
    </cfRule>
  </conditionalFormatting>
  <conditionalFormatting sqref="AY44:AZ44">
    <cfRule type="cellIs" dxfId="55" priority="76" operator="greaterThan">
      <formula>0</formula>
    </cfRule>
  </conditionalFormatting>
  <conditionalFormatting sqref="AY44:AZ44">
    <cfRule type="expression" dxfId="54" priority="75" stopIfTrue="1">
      <formula>AX45=""</formula>
    </cfRule>
  </conditionalFormatting>
  <conditionalFormatting sqref="AY48:AZ48">
    <cfRule type="cellIs" dxfId="53" priority="74" operator="greaterThan">
      <formula>0</formula>
    </cfRule>
  </conditionalFormatting>
  <conditionalFormatting sqref="AY48:AZ48">
    <cfRule type="expression" dxfId="52" priority="73" stopIfTrue="1">
      <formula>AX49=""</formula>
    </cfRule>
  </conditionalFormatting>
  <conditionalFormatting sqref="AY52:AZ52">
    <cfRule type="cellIs" dxfId="51" priority="72" operator="greaterThan">
      <formula>0</formula>
    </cfRule>
  </conditionalFormatting>
  <conditionalFormatting sqref="AY52:AZ52">
    <cfRule type="expression" dxfId="50" priority="71" stopIfTrue="1">
      <formula>AX53=""</formula>
    </cfRule>
  </conditionalFormatting>
  <conditionalFormatting sqref="AY56:AZ56">
    <cfRule type="cellIs" dxfId="49" priority="70" operator="greaterThan">
      <formula>0</formula>
    </cfRule>
  </conditionalFormatting>
  <conditionalFormatting sqref="AY56:AZ56">
    <cfRule type="expression" dxfId="48" priority="69" stopIfTrue="1">
      <formula>AX57=""</formula>
    </cfRule>
  </conditionalFormatting>
  <conditionalFormatting sqref="AY16:AZ16">
    <cfRule type="cellIs" dxfId="47" priority="50" operator="greaterThan">
      <formula>0</formula>
    </cfRule>
  </conditionalFormatting>
  <conditionalFormatting sqref="AY16:AZ16">
    <cfRule type="expression" dxfId="46" priority="49" stopIfTrue="1">
      <formula>AX17=""</formula>
    </cfRule>
  </conditionalFormatting>
  <conditionalFormatting sqref="AY17:AZ17">
    <cfRule type="cellIs" dxfId="45" priority="52" operator="greaterThan">
      <formula>0</formula>
    </cfRule>
  </conditionalFormatting>
  <conditionalFormatting sqref="AY17:AZ17">
    <cfRule type="expression" dxfId="44" priority="51" stopIfTrue="1">
      <formula>AX17=""</formula>
    </cfRule>
  </conditionalFormatting>
  <conditionalFormatting sqref="AY58:AZ58">
    <cfRule type="cellIs" dxfId="43" priority="22" operator="greaterThan">
      <formula>0</formula>
    </cfRule>
  </conditionalFormatting>
  <conditionalFormatting sqref="AY58:AZ58">
    <cfRule type="expression" dxfId="42" priority="21" stopIfTrue="1">
      <formula>AX60=""</formula>
    </cfRule>
  </conditionalFormatting>
  <conditionalFormatting sqref="AY14:AZ14">
    <cfRule type="cellIs" dxfId="41" priority="44" operator="greaterThan">
      <formula>0</formula>
    </cfRule>
  </conditionalFormatting>
  <conditionalFormatting sqref="AY14:AZ14">
    <cfRule type="expression" dxfId="40" priority="43" stopIfTrue="1">
      <formula>AX16=""</formula>
    </cfRule>
  </conditionalFormatting>
  <conditionalFormatting sqref="AY18:AZ18">
    <cfRule type="cellIs" dxfId="39" priority="42" operator="greaterThan">
      <formula>0</formula>
    </cfRule>
  </conditionalFormatting>
  <conditionalFormatting sqref="AY18:AZ18">
    <cfRule type="expression" dxfId="38" priority="41" stopIfTrue="1">
      <formula>AX20=""</formula>
    </cfRule>
  </conditionalFormatting>
  <conditionalFormatting sqref="AY22:AZ22">
    <cfRule type="cellIs" dxfId="37" priority="40" operator="greaterThan">
      <formula>0</formula>
    </cfRule>
  </conditionalFormatting>
  <conditionalFormatting sqref="AY22:AZ22">
    <cfRule type="expression" dxfId="36" priority="39" stopIfTrue="1">
      <formula>AX24=""</formula>
    </cfRule>
  </conditionalFormatting>
  <conditionalFormatting sqref="AY26:AZ26">
    <cfRule type="cellIs" dxfId="35" priority="38" operator="greaterThan">
      <formula>0</formula>
    </cfRule>
  </conditionalFormatting>
  <conditionalFormatting sqref="AY26:AZ26">
    <cfRule type="expression" dxfId="34" priority="37" stopIfTrue="1">
      <formula>AX28=""</formula>
    </cfRule>
  </conditionalFormatting>
  <conditionalFormatting sqref="AY30:AZ30">
    <cfRule type="cellIs" dxfId="33" priority="36" operator="greaterThan">
      <formula>0</formula>
    </cfRule>
  </conditionalFormatting>
  <conditionalFormatting sqref="AY30:AZ30">
    <cfRule type="expression" dxfId="32" priority="35" stopIfTrue="1">
      <formula>AX32=""</formula>
    </cfRule>
  </conditionalFormatting>
  <conditionalFormatting sqref="AY34:AZ34">
    <cfRule type="cellIs" dxfId="31" priority="34" operator="greaterThan">
      <formula>0</formula>
    </cfRule>
  </conditionalFormatting>
  <conditionalFormatting sqref="AY34:AZ34">
    <cfRule type="expression" dxfId="30" priority="33" stopIfTrue="1">
      <formula>AX36=""</formula>
    </cfRule>
  </conditionalFormatting>
  <conditionalFormatting sqref="AY38:AZ38">
    <cfRule type="cellIs" dxfId="29" priority="32" operator="greaterThan">
      <formula>0</formula>
    </cfRule>
  </conditionalFormatting>
  <conditionalFormatting sqref="AY38:AZ38">
    <cfRule type="expression" dxfId="28" priority="31" stopIfTrue="1">
      <formula>AX40=""</formula>
    </cfRule>
  </conditionalFormatting>
  <conditionalFormatting sqref="AZ42">
    <cfRule type="cellIs" dxfId="27" priority="30" operator="greaterThan">
      <formula>0</formula>
    </cfRule>
  </conditionalFormatting>
  <conditionalFormatting sqref="AZ42">
    <cfRule type="expression" dxfId="26" priority="29" stopIfTrue="1">
      <formula>AY44=""</formula>
    </cfRule>
  </conditionalFormatting>
  <conditionalFormatting sqref="AY46:AZ46">
    <cfRule type="cellIs" dxfId="25" priority="28" operator="greaterThan">
      <formula>0</formula>
    </cfRule>
  </conditionalFormatting>
  <conditionalFormatting sqref="AY46:AZ46">
    <cfRule type="expression" dxfId="24" priority="27" stopIfTrue="1">
      <formula>AX48=""</formula>
    </cfRule>
  </conditionalFormatting>
  <conditionalFormatting sqref="AY50:AZ50">
    <cfRule type="cellIs" dxfId="23" priority="26" operator="greaterThan">
      <formula>0</formula>
    </cfRule>
  </conditionalFormatting>
  <conditionalFormatting sqref="AY50:AZ50">
    <cfRule type="expression" dxfId="22" priority="25" stopIfTrue="1">
      <formula>AX52=""</formula>
    </cfRule>
  </conditionalFormatting>
  <conditionalFormatting sqref="AY54:AZ54">
    <cfRule type="cellIs" dxfId="21" priority="24" operator="greaterThan">
      <formula>0</formula>
    </cfRule>
  </conditionalFormatting>
  <conditionalFormatting sqref="AY54:AZ54">
    <cfRule type="expression" dxfId="20" priority="23" stopIfTrue="1">
      <formula>AX56=""</formula>
    </cfRule>
  </conditionalFormatting>
  <conditionalFormatting sqref="AY21">
    <cfRule type="cellIs" dxfId="19" priority="20" operator="greaterThan">
      <formula>0</formula>
    </cfRule>
  </conditionalFormatting>
  <conditionalFormatting sqref="AY21">
    <cfRule type="expression" dxfId="18" priority="19" stopIfTrue="1">
      <formula>AX21=""</formula>
    </cfRule>
  </conditionalFormatting>
  <conditionalFormatting sqref="AY25">
    <cfRule type="cellIs" dxfId="17" priority="18" operator="greaterThan">
      <formula>0</formula>
    </cfRule>
  </conditionalFormatting>
  <conditionalFormatting sqref="AY25">
    <cfRule type="expression" dxfId="16" priority="17" stopIfTrue="1">
      <formula>AX25=""</formula>
    </cfRule>
  </conditionalFormatting>
  <conditionalFormatting sqref="AY29">
    <cfRule type="cellIs" dxfId="15" priority="16" operator="greaterThan">
      <formula>0</formula>
    </cfRule>
  </conditionalFormatting>
  <conditionalFormatting sqref="AY29">
    <cfRule type="expression" dxfId="14" priority="15" stopIfTrue="1">
      <formula>AX29=""</formula>
    </cfRule>
  </conditionalFormatting>
  <conditionalFormatting sqref="AY33">
    <cfRule type="cellIs" dxfId="13" priority="14" operator="greaterThan">
      <formula>0</formula>
    </cfRule>
  </conditionalFormatting>
  <conditionalFormatting sqref="AY33">
    <cfRule type="expression" dxfId="12" priority="13" stopIfTrue="1">
      <formula>AX33=""</formula>
    </cfRule>
  </conditionalFormatting>
  <conditionalFormatting sqref="AY37">
    <cfRule type="cellIs" dxfId="11" priority="12" operator="greaterThan">
      <formula>0</formula>
    </cfRule>
  </conditionalFormatting>
  <conditionalFormatting sqref="AY37">
    <cfRule type="expression" dxfId="10" priority="11" stopIfTrue="1">
      <formula>AX37=""</formula>
    </cfRule>
  </conditionalFormatting>
  <conditionalFormatting sqref="AY41:AY42">
    <cfRule type="cellIs" dxfId="9" priority="10" operator="greaterThan">
      <formula>0</formula>
    </cfRule>
  </conditionalFormatting>
  <conditionalFormatting sqref="AY41:AY42">
    <cfRule type="expression" dxfId="8" priority="9" stopIfTrue="1">
      <formula>AX41=""</formula>
    </cfRule>
  </conditionalFormatting>
  <conditionalFormatting sqref="AY45">
    <cfRule type="cellIs" dxfId="7" priority="8" operator="greaterThan">
      <formula>0</formula>
    </cfRule>
  </conditionalFormatting>
  <conditionalFormatting sqref="AY45">
    <cfRule type="expression" dxfId="6" priority="7" stopIfTrue="1">
      <formula>AX45=""</formula>
    </cfRule>
  </conditionalFormatting>
  <conditionalFormatting sqref="AY49">
    <cfRule type="cellIs" dxfId="5" priority="6" operator="greaterThan">
      <formula>0</formula>
    </cfRule>
  </conditionalFormatting>
  <conditionalFormatting sqref="AY49">
    <cfRule type="expression" dxfId="4" priority="5" stopIfTrue="1">
      <formula>AX49=""</formula>
    </cfRule>
  </conditionalFormatting>
  <conditionalFormatting sqref="AY53">
    <cfRule type="cellIs" dxfId="3" priority="4" operator="greaterThan">
      <formula>0</formula>
    </cfRule>
  </conditionalFormatting>
  <conditionalFormatting sqref="AY53">
    <cfRule type="expression" dxfId="2" priority="3" stopIfTrue="1">
      <formula>AX53=""</formula>
    </cfRule>
  </conditionalFormatting>
  <conditionalFormatting sqref="AY57">
    <cfRule type="cellIs" dxfId="1" priority="2" operator="greaterThan">
      <formula>0</formula>
    </cfRule>
  </conditionalFormatting>
  <conditionalFormatting sqref="AY57">
    <cfRule type="expression" dxfId="0" priority="1" stopIfTrue="1">
      <formula>AX57=""</formula>
    </cfRule>
  </conditionalFormatting>
  <dataValidations count="1">
    <dataValidation type="date" operator="lessThanOrEqual" showInputMessage="1" showErrorMessage="1" errorTitle="Hire Date Required" error="Please enter your hire date." prompt="Please enter your hire date in order to calculate accrued annual leave." sqref="H4:L4">
      <formula1>45291</formula1>
    </dataValidation>
  </dataValidations>
  <printOptions gridLines="1"/>
  <pageMargins left="0.28000000000000003" right="0.25" top="1" bottom="0.5" header="0.5" footer="0.5"/>
  <pageSetup paperSize="5" scale="73" orientation="landscape" r:id="rId1"/>
  <headerFooter alignWithMargins="0">
    <oddHeader>&amp;C&amp;F&amp;RPrinted on &amp;D @ &amp;T</oddHeader>
  </headerFooter>
  <rowBreaks count="1" manualBreakCount="1">
    <brk id="39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22"/>
  <sheetViews>
    <sheetView showGridLines="0" workbookViewId="0">
      <selection activeCell="B1" sqref="B1:I1"/>
    </sheetView>
  </sheetViews>
  <sheetFormatPr defaultRowHeight="12.75" x14ac:dyDescent="0.2"/>
  <cols>
    <col min="1" max="1" width="3.42578125" customWidth="1"/>
    <col min="2" max="3" width="10.28515625" customWidth="1"/>
    <col min="4" max="4" width="12.28515625" customWidth="1"/>
    <col min="5" max="5" width="6" customWidth="1"/>
    <col min="6" max="8" width="13" customWidth="1"/>
    <col min="9" max="9" width="9.5703125" customWidth="1"/>
    <col min="10" max="10" width="6.85546875" customWidth="1"/>
  </cols>
  <sheetData>
    <row r="1" spans="2:10" ht="15" x14ac:dyDescent="0.25">
      <c r="B1" s="365" t="s">
        <v>4</v>
      </c>
      <c r="C1" s="365"/>
      <c r="D1" s="365"/>
      <c r="E1" s="365"/>
      <c r="F1" s="365"/>
      <c r="G1" s="365"/>
      <c r="H1" s="365"/>
      <c r="I1" s="365"/>
      <c r="J1" s="167"/>
    </row>
    <row r="2" spans="2:10" ht="13.5" thickBot="1" x14ac:dyDescent="0.25"/>
    <row r="3" spans="2:10" x14ac:dyDescent="0.2">
      <c r="B3" s="362" t="s">
        <v>5</v>
      </c>
      <c r="C3" s="363"/>
      <c r="D3" s="364"/>
      <c r="F3" s="362" t="s">
        <v>6</v>
      </c>
      <c r="G3" s="363"/>
      <c r="H3" s="364"/>
      <c r="I3" s="28"/>
      <c r="J3" s="8"/>
    </row>
    <row r="4" spans="2:10" x14ac:dyDescent="0.2">
      <c r="B4" s="21"/>
      <c r="C4" s="9"/>
      <c r="D4" s="22">
        <v>0</v>
      </c>
      <c r="F4" s="21"/>
      <c r="G4" s="9"/>
      <c r="H4" s="22"/>
      <c r="I4" s="34">
        <v>0</v>
      </c>
    </row>
    <row r="5" spans="2:10" x14ac:dyDescent="0.2">
      <c r="B5" s="23" t="s">
        <v>7</v>
      </c>
      <c r="C5" s="24" t="s">
        <v>1</v>
      </c>
      <c r="D5" s="168" t="s">
        <v>8</v>
      </c>
      <c r="F5" s="23" t="s">
        <v>9</v>
      </c>
      <c r="G5" s="10" t="s">
        <v>10</v>
      </c>
      <c r="H5" s="24" t="s">
        <v>11</v>
      </c>
      <c r="I5" s="29" t="s">
        <v>0</v>
      </c>
    </row>
    <row r="6" spans="2:10" x14ac:dyDescent="0.2">
      <c r="B6" s="25"/>
      <c r="C6" s="11"/>
      <c r="D6" s="169">
        <f>SUM(D4-C6)</f>
        <v>0</v>
      </c>
      <c r="E6" s="12"/>
      <c r="F6" s="25"/>
      <c r="G6" s="11"/>
      <c r="H6" s="30"/>
      <c r="I6" s="32">
        <f>SUM(I4+F6-H6)</f>
        <v>0</v>
      </c>
      <c r="J6" s="12"/>
    </row>
    <row r="7" spans="2:10" x14ac:dyDescent="0.2">
      <c r="B7" s="25"/>
      <c r="C7" s="11"/>
      <c r="D7" s="169">
        <f>SUM(D6-C7)</f>
        <v>0</v>
      </c>
      <c r="E7" s="12"/>
      <c r="F7" s="25"/>
      <c r="G7" s="11"/>
      <c r="H7" s="30"/>
      <c r="I7" s="32">
        <f>SUM(I6+F7-H7)</f>
        <v>0</v>
      </c>
      <c r="J7" s="12"/>
    </row>
    <row r="8" spans="2:10" x14ac:dyDescent="0.2">
      <c r="B8" s="25"/>
      <c r="C8" s="11"/>
      <c r="D8" s="169">
        <f t="shared" ref="D8:D21" si="0">SUM(D7-C8)</f>
        <v>0</v>
      </c>
      <c r="E8" s="12"/>
      <c r="F8" s="25"/>
      <c r="G8" s="11"/>
      <c r="H8" s="30"/>
      <c r="I8" s="32">
        <f>SUM(I7+F8-H8)</f>
        <v>0</v>
      </c>
      <c r="J8" s="12"/>
    </row>
    <row r="9" spans="2:10" x14ac:dyDescent="0.2">
      <c r="B9" s="25"/>
      <c r="C9" s="11"/>
      <c r="D9" s="169">
        <f t="shared" si="0"/>
        <v>0</v>
      </c>
      <c r="E9" s="12"/>
      <c r="F9" s="25"/>
      <c r="G9" s="11"/>
      <c r="H9" s="30"/>
      <c r="I9" s="32">
        <f>SUM(I8+F9-H9)</f>
        <v>0</v>
      </c>
      <c r="J9" s="12"/>
    </row>
    <row r="10" spans="2:10" x14ac:dyDescent="0.2">
      <c r="B10" s="25"/>
      <c r="C10" s="11"/>
      <c r="D10" s="169">
        <f t="shared" si="0"/>
        <v>0</v>
      </c>
      <c r="E10" s="12"/>
      <c r="F10" s="25"/>
      <c r="G10" s="11"/>
      <c r="H10" s="30"/>
      <c r="I10" s="32">
        <f>SUM(I9+F10-H10)</f>
        <v>0</v>
      </c>
      <c r="J10" s="12"/>
    </row>
    <row r="11" spans="2:10" x14ac:dyDescent="0.2">
      <c r="B11" s="25"/>
      <c r="C11" s="11"/>
      <c r="D11" s="169">
        <f t="shared" si="0"/>
        <v>0</v>
      </c>
      <c r="E11" s="12"/>
      <c r="F11" s="25"/>
      <c r="G11" s="11"/>
      <c r="H11" s="30"/>
      <c r="I11" s="32">
        <f t="shared" ref="I11:I21" si="1">SUM(I10+F11-H11)</f>
        <v>0</v>
      </c>
      <c r="J11" s="12"/>
    </row>
    <row r="12" spans="2:10" x14ac:dyDescent="0.2">
      <c r="B12" s="25"/>
      <c r="C12" s="11"/>
      <c r="D12" s="169">
        <f t="shared" si="0"/>
        <v>0</v>
      </c>
      <c r="E12" s="12"/>
      <c r="F12" s="25"/>
      <c r="G12" s="11"/>
      <c r="H12" s="30"/>
      <c r="I12" s="32">
        <f t="shared" si="1"/>
        <v>0</v>
      </c>
      <c r="J12" s="12"/>
    </row>
    <row r="13" spans="2:10" x14ac:dyDescent="0.2">
      <c r="B13" s="25"/>
      <c r="C13" s="11"/>
      <c r="D13" s="169">
        <f t="shared" si="0"/>
        <v>0</v>
      </c>
      <c r="E13" s="12"/>
      <c r="F13" s="25"/>
      <c r="G13" s="11"/>
      <c r="H13" s="30"/>
      <c r="I13" s="32">
        <f t="shared" si="1"/>
        <v>0</v>
      </c>
      <c r="J13" s="12"/>
    </row>
    <row r="14" spans="2:10" x14ac:dyDescent="0.2">
      <c r="B14" s="25"/>
      <c r="C14" s="11"/>
      <c r="D14" s="169">
        <f t="shared" si="0"/>
        <v>0</v>
      </c>
      <c r="E14" s="12"/>
      <c r="F14" s="25"/>
      <c r="G14" s="11"/>
      <c r="H14" s="30"/>
      <c r="I14" s="32">
        <f t="shared" si="1"/>
        <v>0</v>
      </c>
      <c r="J14" s="12"/>
    </row>
    <row r="15" spans="2:10" x14ac:dyDescent="0.2">
      <c r="B15" s="25"/>
      <c r="C15" s="11"/>
      <c r="D15" s="169">
        <f t="shared" si="0"/>
        <v>0</v>
      </c>
      <c r="E15" s="12"/>
      <c r="F15" s="25"/>
      <c r="G15" s="11"/>
      <c r="H15" s="30"/>
      <c r="I15" s="32">
        <f t="shared" si="1"/>
        <v>0</v>
      </c>
      <c r="J15" s="12"/>
    </row>
    <row r="16" spans="2:10" x14ac:dyDescent="0.2">
      <c r="B16" s="25"/>
      <c r="C16" s="11"/>
      <c r="D16" s="169">
        <f t="shared" si="0"/>
        <v>0</v>
      </c>
      <c r="E16" s="12"/>
      <c r="F16" s="25"/>
      <c r="G16" s="11"/>
      <c r="H16" s="30"/>
      <c r="I16" s="32">
        <f t="shared" si="1"/>
        <v>0</v>
      </c>
      <c r="J16" s="12"/>
    </row>
    <row r="17" spans="2:10" x14ac:dyDescent="0.2">
      <c r="B17" s="25"/>
      <c r="C17" s="11"/>
      <c r="D17" s="169">
        <f t="shared" si="0"/>
        <v>0</v>
      </c>
      <c r="E17" s="12"/>
      <c r="F17" s="25"/>
      <c r="G17" s="11"/>
      <c r="H17" s="30"/>
      <c r="I17" s="32">
        <f t="shared" si="1"/>
        <v>0</v>
      </c>
      <c r="J17" s="12"/>
    </row>
    <row r="18" spans="2:10" x14ac:dyDescent="0.2">
      <c r="B18" s="25"/>
      <c r="C18" s="11"/>
      <c r="D18" s="169">
        <f t="shared" si="0"/>
        <v>0</v>
      </c>
      <c r="E18" s="12"/>
      <c r="F18" s="25"/>
      <c r="G18" s="11"/>
      <c r="H18" s="30"/>
      <c r="I18" s="32">
        <f t="shared" si="1"/>
        <v>0</v>
      </c>
      <c r="J18" s="12"/>
    </row>
    <row r="19" spans="2:10" x14ac:dyDescent="0.2">
      <c r="B19" s="25"/>
      <c r="C19" s="11"/>
      <c r="D19" s="169">
        <f t="shared" si="0"/>
        <v>0</v>
      </c>
      <c r="E19" s="12"/>
      <c r="F19" s="25"/>
      <c r="G19" s="11"/>
      <c r="H19" s="30"/>
      <c r="I19" s="32">
        <f t="shared" si="1"/>
        <v>0</v>
      </c>
      <c r="J19" s="12"/>
    </row>
    <row r="20" spans="2:10" x14ac:dyDescent="0.2">
      <c r="B20" s="25"/>
      <c r="C20" s="11"/>
      <c r="D20" s="169">
        <f t="shared" si="0"/>
        <v>0</v>
      </c>
      <c r="E20" s="12"/>
      <c r="F20" s="25"/>
      <c r="G20" s="11"/>
      <c r="H20" s="30"/>
      <c r="I20" s="32">
        <f t="shared" si="1"/>
        <v>0</v>
      </c>
      <c r="J20" s="12"/>
    </row>
    <row r="21" spans="2:10" ht="13.5" thickBot="1" x14ac:dyDescent="0.25">
      <c r="B21" s="26"/>
      <c r="C21" s="27"/>
      <c r="D21" s="170">
        <f t="shared" si="0"/>
        <v>0</v>
      </c>
      <c r="E21" s="12"/>
      <c r="F21" s="26"/>
      <c r="G21" s="27"/>
      <c r="H21" s="31"/>
      <c r="I21" s="33">
        <f t="shared" si="1"/>
        <v>0</v>
      </c>
      <c r="J21" s="12"/>
    </row>
    <row r="22" spans="2:10" x14ac:dyDescent="0.2"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 sheet="1" objects="1" scenarios="1" selectLockedCells="1"/>
  <mergeCells count="3">
    <mergeCell ref="B3:D3"/>
    <mergeCell ref="F3:H3"/>
    <mergeCell ref="B1:I1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Leave Card</vt:lpstr>
      <vt:lpstr>Other Leave</vt:lpstr>
      <vt:lpstr>Annual</vt:lpstr>
      <vt:lpstr>Data</vt:lpstr>
      <vt:lpstr>DonAL</vt:lpstr>
      <vt:lpstr>DonSL</vt:lpstr>
      <vt:lpstr>FiveYr</vt:lpstr>
      <vt:lpstr>ForAL</vt:lpstr>
      <vt:lpstr>ForfeitedAL</vt:lpstr>
      <vt:lpstr>ForfeitedSL</vt:lpstr>
      <vt:lpstr>ForSL</vt:lpstr>
      <vt:lpstr>PERSONAL</vt:lpstr>
      <vt:lpstr>'Leave Card'!Print_Area</vt:lpstr>
      <vt:lpstr>SICK</vt:lpstr>
      <vt:lpstr>StartDate</vt:lpstr>
      <vt:lpstr>TenYr</vt:lpstr>
      <vt:lpstr>YearDate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mdwalker</dc:creator>
  <cp:lastModifiedBy>Maribel Alarcon</cp:lastModifiedBy>
  <cp:lastPrinted>2017-11-01T14:42:12Z</cp:lastPrinted>
  <dcterms:created xsi:type="dcterms:W3CDTF">2011-02-16T14:30:37Z</dcterms:created>
  <dcterms:modified xsi:type="dcterms:W3CDTF">2017-12-11T14:12:49Z</dcterms:modified>
</cp:coreProperties>
</file>